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45" windowWidth="15480" windowHeight="8160" tabRatio="782" activeTab="0"/>
  </bookViews>
  <sheets>
    <sheet name="6.1(1) 補剛材の設計" sheetId="1" r:id="rId1"/>
    <sheet name="6.1(2) 補剛材の設計(交番区間)" sheetId="2" r:id="rId2"/>
    <sheet name="補剛材照査一覧" sheetId="3" r:id="rId3"/>
    <sheet name="6.2(1) 支点部補剛(橋台部 1列)" sheetId="4" r:id="rId4"/>
    <sheet name="6.2(2) 支点部補剛(橋脚部 1列)" sheetId="5" r:id="rId5"/>
    <sheet name="支点部垂直補剛材一覧" sheetId="6" r:id="rId6"/>
  </sheets>
  <definedNames>
    <definedName name="_xlnm.Print_Area" localSheetId="0">'6.1(1) 補剛材の設計'!$A$1:$AA$56</definedName>
    <definedName name="_xlnm.Print_Area" localSheetId="1">'6.1(2) 補剛材の設計(交番区間)'!$A$1:$AA$56</definedName>
    <definedName name="_xlnm.Print_Area" localSheetId="3">'6.2(1) 支点部補剛(橋台部 1列)'!$A$1:$Y$33</definedName>
    <definedName name="_xlnm.Print_Area" localSheetId="4">'6.2(2) 支点部補剛(橋脚部 1列)'!$A$1:$Y$32</definedName>
  </definedNames>
  <calcPr fullCalcOnLoad="1"/>
</workbook>
</file>

<file path=xl/sharedStrings.xml><?xml version="1.0" encoding="utf-8"?>
<sst xmlns="http://schemas.openxmlformats.org/spreadsheetml/2006/main" count="776" uniqueCount="313">
  <si>
    <r>
      <t>R</t>
    </r>
    <r>
      <rPr>
        <vertAlign val="subscript"/>
        <sz val="9"/>
        <rFont val="ＭＳ ゴシック"/>
        <family val="3"/>
      </rPr>
      <t>max</t>
    </r>
    <r>
      <rPr>
        <sz val="9"/>
        <rFont val="ＭＳ ゴシック"/>
        <family val="3"/>
      </rPr>
      <t xml:space="preserve"> =</t>
    </r>
  </si>
  <si>
    <r>
      <t>t</t>
    </r>
    <r>
      <rPr>
        <vertAlign val="subscript"/>
        <sz val="9"/>
        <rFont val="ＭＳ ゴシック"/>
        <family val="3"/>
      </rPr>
      <t>s</t>
    </r>
    <r>
      <rPr>
        <sz val="9"/>
        <rFont val="ＭＳ ゴシック"/>
        <family val="3"/>
      </rPr>
      <t>=</t>
    </r>
  </si>
  <si>
    <r>
      <t>t</t>
    </r>
    <r>
      <rPr>
        <vertAlign val="subscript"/>
        <sz val="9"/>
        <rFont val="ＭＳ ゴシック"/>
        <family val="3"/>
      </rPr>
      <t>d</t>
    </r>
    <r>
      <rPr>
        <sz val="9"/>
        <rFont val="ＭＳ ゴシック"/>
        <family val="3"/>
      </rPr>
      <t>=</t>
    </r>
  </si>
  <si>
    <r>
      <t>24t</t>
    </r>
    <r>
      <rPr>
        <vertAlign val="subscript"/>
        <sz val="9"/>
        <rFont val="ＭＳ ゴシック"/>
        <family val="3"/>
      </rPr>
      <t>d</t>
    </r>
    <r>
      <rPr>
        <sz val="9"/>
        <rFont val="ＭＳ ゴシック"/>
        <family val="3"/>
      </rPr>
      <t xml:space="preserve"> =</t>
    </r>
  </si>
  <si>
    <t>補剛材の断面積</t>
  </si>
  <si>
    <t>=</t>
  </si>
  <si>
    <t>)</t>
  </si>
  <si>
    <t>:</t>
  </si>
  <si>
    <t>---</t>
  </si>
  <si>
    <t>t =</t>
  </si>
  <si>
    <t>n =</t>
  </si>
  <si>
    <t>a =</t>
  </si>
  <si>
    <t>b =</t>
  </si>
  <si>
    <t>a/b</t>
  </si>
  <si>
    <t>γ =</t>
  </si>
  <si>
    <t>b /</t>
  </si>
  <si>
    <t>l =</t>
  </si>
  <si>
    <t>d =</t>
  </si>
  <si>
    <t>EA</t>
  </si>
  <si>
    <t>1.7As =</t>
  </si>
  <si>
    <t>le = 1/2·l =</t>
  </si>
  <si>
    <t>-----------</t>
  </si>
  <si>
    <t>mm</t>
  </si>
  <si>
    <t>SM490</t>
  </si>
  <si>
    <t>τ =</t>
  </si>
  <si>
    <t>kτ</t>
  </si>
  <si>
    <t>η</t>
  </si>
  <si>
    <r>
      <t>b</t>
    </r>
    <r>
      <rPr>
        <vertAlign val="subscript"/>
        <sz val="9"/>
        <rFont val="ＭＳ ゴシック"/>
        <family val="3"/>
      </rPr>
      <t>vs</t>
    </r>
    <r>
      <rPr>
        <sz val="9"/>
        <rFont val="ＭＳ ゴシック"/>
        <family val="3"/>
      </rPr>
      <t xml:space="preserve"> =</t>
    </r>
  </si>
  <si>
    <r>
      <t>t</t>
    </r>
    <r>
      <rPr>
        <vertAlign val="subscript"/>
        <sz val="9"/>
        <rFont val="ＭＳ ゴシック"/>
        <family val="3"/>
      </rPr>
      <t>vs</t>
    </r>
    <r>
      <rPr>
        <sz val="9"/>
        <rFont val="ＭＳ ゴシック"/>
        <family val="3"/>
      </rPr>
      <t xml:space="preserve"> =</t>
    </r>
  </si>
  <si>
    <r>
      <t>8.0(b/a)</t>
    </r>
    <r>
      <rPr>
        <vertAlign val="superscript"/>
        <sz val="9"/>
        <rFont val="ＭＳ ゴシック"/>
        <family val="3"/>
      </rPr>
      <t>2</t>
    </r>
    <r>
      <rPr>
        <sz val="9"/>
        <rFont val="ＭＳ ゴシック"/>
        <family val="3"/>
      </rPr>
      <t xml:space="preserve"> =</t>
    </r>
  </si>
  <si>
    <r>
      <t>b</t>
    </r>
    <r>
      <rPr>
        <vertAlign val="subscript"/>
        <sz val="9"/>
        <rFont val="ＭＳ ゴシック"/>
        <family val="3"/>
      </rPr>
      <t>min</t>
    </r>
    <r>
      <rPr>
        <sz val="9"/>
        <rFont val="ＭＳ ゴシック"/>
        <family val="3"/>
      </rPr>
      <t xml:space="preserve"> = </t>
    </r>
  </si>
  <si>
    <r>
      <t>t</t>
    </r>
    <r>
      <rPr>
        <vertAlign val="subscript"/>
        <sz val="9"/>
        <rFont val="ＭＳ ゴシック"/>
        <family val="3"/>
      </rPr>
      <t>min</t>
    </r>
    <r>
      <rPr>
        <sz val="9"/>
        <rFont val="ＭＳ ゴシック"/>
        <family val="3"/>
      </rPr>
      <t xml:space="preserve"> = </t>
    </r>
  </si>
  <si>
    <t>SM490Y</t>
  </si>
  <si>
    <t>bvs =</t>
  </si>
  <si>
    <t>tvs =</t>
  </si>
  <si>
    <t>なので</t>
  </si>
  <si>
    <t>8.0(b/a)2 =</t>
  </si>
  <si>
    <t>SS400</t>
  </si>
  <si>
    <t>SM400</t>
  </si>
  <si>
    <t>SMA400</t>
  </si>
  <si>
    <t>SM400C-H</t>
  </si>
  <si>
    <t>SM490C-H</t>
  </si>
  <si>
    <t>SM520</t>
  </si>
  <si>
    <t>SMA490</t>
  </si>
  <si>
    <t>SM520C-H</t>
  </si>
  <si>
    <t>SM570</t>
  </si>
  <si>
    <t>SMA570</t>
  </si>
  <si>
    <t>SM570-H</t>
  </si>
  <si>
    <t>40-75</t>
  </si>
  <si>
    <t>75-100</t>
  </si>
  <si>
    <t>腹板高</t>
  </si>
  <si>
    <t>mm⁴</t>
  </si>
  <si>
    <t>腹板の厚さ</t>
  </si>
  <si>
    <t>* 腹板最小厚</t>
  </si>
  <si>
    <t>SS400</t>
  </si>
  <si>
    <t>SM400</t>
  </si>
  <si>
    <t>SMA400</t>
  </si>
  <si>
    <t>SM400C-H</t>
  </si>
  <si>
    <t>SM490C-H</t>
  </si>
  <si>
    <t>SM490Y</t>
  </si>
  <si>
    <t>SM520</t>
  </si>
  <si>
    <t>SMA490</t>
  </si>
  <si>
    <t>SM520C-H</t>
  </si>
  <si>
    <t>SM570</t>
  </si>
  <si>
    <t>SMA570</t>
  </si>
  <si>
    <t>SM570-H</t>
  </si>
  <si>
    <t>垂直補剛材の間隔照査</t>
  </si>
  <si>
    <t>ない</t>
  </si>
  <si>
    <t>1 段</t>
  </si>
  <si>
    <t>水平補剛材を</t>
  </si>
  <si>
    <t>段使って、</t>
  </si>
  <si>
    <t>2 段</t>
  </si>
  <si>
    <t>垂直補剛材の剛度照査</t>
  </si>
  <si>
    <t>垂直補剛材の最小幅</t>
  </si>
  <si>
    <t>(</t>
  </si>
  <si>
    <t>水平補剛材のないときの腹板の安定性に対して検討する。</t>
  </si>
  <si>
    <t>φ = σ1 / σc =</t>
  </si>
  <si>
    <t>/</t>
  </si>
  <si>
    <t>=</t>
  </si>
  <si>
    <t>η =  τ / σc =</t>
  </si>
  <si>
    <t>R = 0.90 - 0.1φ</t>
  </si>
  <si>
    <t>0.9 - 0.1 ×</t>
  </si>
  <si>
    <t>kσ  =</t>
  </si>
  <si>
    <t>；垂直応力度に対する座屈係数</t>
  </si>
  <si>
    <t>kτ  =</t>
  </si>
  <si>
    <t>＋</t>
  </si>
  <si>
    <r>
      <t>/ ( a/b )</t>
    </r>
    <r>
      <rPr>
        <vertAlign val="superscript"/>
        <sz val="9"/>
        <rFont val="ＭＳ ゴシック"/>
        <family val="3"/>
      </rPr>
      <t>2</t>
    </r>
  </si>
  <si>
    <t>a / b =</t>
  </si>
  <si>
    <t>)</t>
  </si>
  <si>
    <t xml:space="preserve"> =</t>
  </si>
  <si>
    <t>；せん断応力度に対する座屈係数</t>
  </si>
  <si>
    <r>
      <t xml:space="preserve">υb  = 1.25 ＋ ( 0.30 ＋ 0.15φ) e </t>
    </r>
    <r>
      <rPr>
        <vertAlign val="superscript"/>
        <sz val="9"/>
        <rFont val="ＭＳ ゴシック"/>
        <family val="3"/>
      </rPr>
      <t>-4.3η</t>
    </r>
  </si>
  <si>
    <t xml:space="preserve"> 1.25 ＋ ( 0.30 ＋ 0.15</t>
  </si>
  <si>
    <t>×</t>
  </si>
  <si>
    <t>) e</t>
  </si>
  <si>
    <t>υb σc</t>
  </si>
  <si>
    <t>1 + φ</t>
  </si>
  <si>
    <t xml:space="preserve">3 - φ </t>
  </si>
  <si>
    <r>
      <t>( 425R )</t>
    </r>
    <r>
      <rPr>
        <vertAlign val="superscript"/>
        <sz val="9"/>
        <rFont val="ＭＳ ゴシック"/>
        <family val="3"/>
      </rPr>
      <t>2</t>
    </r>
  </si>
  <si>
    <t>4kσ</t>
  </si>
  <si>
    <r>
      <t>( t / b )</t>
    </r>
    <r>
      <rPr>
        <vertAlign val="superscript"/>
        <sz val="9"/>
        <rFont val="ＭＳ ゴシック"/>
        <family val="3"/>
      </rPr>
      <t>2</t>
    </r>
  </si>
  <si>
    <t xml:space="preserve"> 6.1 補剛材照査</t>
  </si>
  <si>
    <t xml:space="preserve">    1) 垂直補剛材の設計</t>
  </si>
  <si>
    <t>垂直補剛材の最小厚</t>
  </si>
  <si>
    <t>腹板厚</t>
  </si>
  <si>
    <t>(</t>
  </si>
  <si>
    <t>SM490Y</t>
  </si>
  <si>
    <t>使用)</t>
  </si>
  <si>
    <t>水平補剛材の使用段数</t>
  </si>
  <si>
    <t>SS400</t>
  </si>
  <si>
    <t>SM400</t>
  </si>
  <si>
    <t>SMA400</t>
  </si>
  <si>
    <t>SM400C-H</t>
  </si>
  <si>
    <t>SM490C-H</t>
  </si>
  <si>
    <t>SM520</t>
  </si>
  <si>
    <t>SMA490</t>
  </si>
  <si>
    <t>SM520C-H</t>
  </si>
  <si>
    <t>SM570</t>
  </si>
  <si>
    <t>SMA570</t>
  </si>
  <si>
    <t>SM570-H</t>
  </si>
  <si>
    <t>腹板の縁圧縮応力度</t>
  </si>
  <si>
    <t>σc =</t>
  </si>
  <si>
    <t>N/mm2</t>
  </si>
  <si>
    <t>腹板のせん断応力度</t>
  </si>
  <si>
    <t>40-75</t>
  </si>
  <si>
    <t>使用垂直補剛材の幅</t>
  </si>
  <si>
    <t>75-100</t>
  </si>
  <si>
    <t>使用垂直補剛材の板厚</t>
  </si>
  <si>
    <t>垂直補剛材の間隔</t>
  </si>
  <si>
    <t>mm4</t>
  </si>
  <si>
    <t>(</t>
  </si>
  <si>
    <t>使用)</t>
  </si>
  <si>
    <t>水平補剛材の使用段数</t>
  </si>
  <si>
    <t>腹板の縁圧縮応力度</t>
  </si>
  <si>
    <t>σc =</t>
  </si>
  <si>
    <t>N/mm2</t>
  </si>
  <si>
    <t>腹板のせん断応力度</t>
  </si>
  <si>
    <t>40-75</t>
  </si>
  <si>
    <t>使用垂直補剛材の幅</t>
  </si>
  <si>
    <t>75-100</t>
  </si>
  <si>
    <t>使用垂直補剛材の板厚</t>
  </si>
  <si>
    <t>垂直補剛材の間隔</t>
  </si>
  <si>
    <t>[道示Ⅱ 10.4.3]</t>
  </si>
  <si>
    <t>[道示Ⅱ 10.4.4]</t>
  </si>
  <si>
    <t>[道示Ⅱ 10.4.2, 10.4.3]</t>
  </si>
  <si>
    <t>[道示Ⅱ 10.5.2]</t>
  </si>
  <si>
    <t>[道示Ⅱ 3.2.1]</t>
  </si>
  <si>
    <r>
      <t>N/</t>
    </r>
    <r>
      <rPr>
        <sz val="9"/>
        <rFont val="돋움"/>
        <family val="2"/>
      </rPr>
      <t>㎟</t>
    </r>
  </si>
  <si>
    <t xml:space="preserve"> (節点</t>
  </si>
  <si>
    <t xml:space="preserve">    1) 垂直補剛材の設計</t>
  </si>
  <si>
    <t>* 許容引張, 圧縮応力 (N/㎟)</t>
  </si>
  <si>
    <t xml:space="preserve">    1) 垂直補剛材の設計</t>
  </si>
  <si>
    <t>* 許容引張, 圧縮応力 (N/㎟)</t>
  </si>
  <si>
    <t xml:space="preserve"> (1)一般部断面</t>
  </si>
  <si>
    <t xml:space="preserve"> (2)支点部断面</t>
  </si>
  <si>
    <t>&lt; 最大正モーメント部 : G1 断 面 - 3 MAX &gt;</t>
  </si>
  <si>
    <t>&lt; 最大負モーメント部 : G1 断 面 - 12 MAX &gt;</t>
  </si>
  <si>
    <t>- 補剛材照査一覧</t>
  </si>
  <si>
    <t xml:space="preserve">  (1) 垂直補剛材の照査</t>
  </si>
  <si>
    <t>区分</t>
  </si>
  <si>
    <t>間 隔 比 ( a / b )</t>
  </si>
  <si>
    <t>補剛材の最小幅(mm)</t>
  </si>
  <si>
    <t>補剛材の最小厚(mm)</t>
  </si>
  <si>
    <t>補剛材の剛度(cm4)</t>
  </si>
  <si>
    <t>最大</t>
  </si>
  <si>
    <t>使用</t>
  </si>
  <si>
    <t>判定</t>
  </si>
  <si>
    <t>必要</t>
  </si>
  <si>
    <t>G1 断面-1</t>
  </si>
  <si>
    <t>G1 断面-2</t>
  </si>
  <si>
    <t>G1 断面-3</t>
  </si>
  <si>
    <t>G1 断面-4</t>
  </si>
  <si>
    <t>G1 断面-5</t>
  </si>
  <si>
    <t>G1 断面-6</t>
  </si>
  <si>
    <t>G1 断面-7</t>
  </si>
  <si>
    <t>G1 断面-8</t>
  </si>
  <si>
    <t>G1 断面-9</t>
  </si>
  <si>
    <t>G1 断面-10</t>
  </si>
  <si>
    <t>G1 断面-11</t>
  </si>
  <si>
    <t>G1 断面-12</t>
  </si>
  <si>
    <t>G1 断面-13</t>
  </si>
  <si>
    <t>G1 断面-14</t>
  </si>
  <si>
    <t>G1 断面-15</t>
  </si>
  <si>
    <t>G1 断面-16</t>
  </si>
  <si>
    <t>G1 断面-17</t>
  </si>
  <si>
    <t>G2 断面-1</t>
  </si>
  <si>
    <t>G2 断面-2</t>
  </si>
  <si>
    <t>G2 断面-3</t>
  </si>
  <si>
    <t>G2 断面-4</t>
  </si>
  <si>
    <t>G2 断面-5</t>
  </si>
  <si>
    <t>G2 断面-6</t>
  </si>
  <si>
    <t>G2 断面-7</t>
  </si>
  <si>
    <t>G2 断面-8</t>
  </si>
  <si>
    <t>G2 断面-9</t>
  </si>
  <si>
    <t>G2 断面-10</t>
  </si>
  <si>
    <t>G2 断面-11</t>
  </si>
  <si>
    <t>G2 断面-12</t>
  </si>
  <si>
    <t>G2 断面-13</t>
  </si>
  <si>
    <t>G2 断面-14</t>
  </si>
  <si>
    <t>G2 断面-15</t>
  </si>
  <si>
    <t>G2 断面-16</t>
  </si>
  <si>
    <t>G2 断面-17</t>
  </si>
  <si>
    <t xml:space="preserve">  (2) 水平補剛材の照査</t>
  </si>
  <si>
    <t>水平補剛材の取付け位置は圧縮側フランジからの距離 (mm)</t>
  </si>
  <si>
    <t>腹板の最小厚(mm)</t>
  </si>
  <si>
    <t>剛  度(cm4)</t>
  </si>
  <si>
    <t>取付位置の照査 (mm)</t>
  </si>
  <si>
    <t>適正位置</t>
  </si>
  <si>
    <t>取付位置</t>
  </si>
  <si>
    <t>402, 1033</t>
  </si>
  <si>
    <t>399, 1026</t>
  </si>
  <si>
    <t>398, 1022</t>
  </si>
  <si>
    <t>400, 1030</t>
  </si>
  <si>
    <t>SM490Y</t>
  </si>
  <si>
    <t>- 支点部垂直補剛材照査一覧</t>
  </si>
  <si>
    <t>区  分</t>
  </si>
  <si>
    <t>最大反力</t>
  </si>
  <si>
    <t>補剛材の幅</t>
  </si>
  <si>
    <t>有効断面積</t>
  </si>
  <si>
    <t>応力度 (N/mm2)</t>
  </si>
  <si>
    <t>支 点</t>
  </si>
  <si>
    <t>柱桁</t>
  </si>
  <si>
    <t>格点</t>
  </si>
  <si>
    <t>鋼種</t>
  </si>
  <si>
    <t>( kN )</t>
  </si>
  <si>
    <t>( mm )</t>
  </si>
  <si>
    <t>( cm2 )</t>
  </si>
  <si>
    <t>作用</t>
  </si>
  <si>
    <t>許容</t>
  </si>
  <si>
    <t>S1</t>
  </si>
  <si>
    <t>G1</t>
  </si>
  <si>
    <t>G2</t>
  </si>
  <si>
    <t>P1</t>
  </si>
  <si>
    <t>P2</t>
  </si>
  <si>
    <t>S2</t>
  </si>
  <si>
    <t>6. 補剛材の設計</t>
  </si>
  <si>
    <t xml:space="preserve">bmin = </t>
  </si>
  <si>
    <t xml:space="preserve">tmin = </t>
  </si>
  <si>
    <t xml:space="preserve">  (3) 交番部断面 : G1 断 面 5</t>
  </si>
  <si>
    <t>(</t>
  </si>
  <si>
    <t>使用)</t>
  </si>
  <si>
    <t>* 許容引張, 圧縮応力 (N/㎟)</t>
  </si>
  <si>
    <t>水平補剛材の使用段数</t>
  </si>
  <si>
    <t>n =</t>
  </si>
  <si>
    <t>腹板の縁応力度（最大正モーメント時）</t>
  </si>
  <si>
    <t>σc =</t>
  </si>
  <si>
    <t>N/mm2 (圧縮部)</t>
  </si>
  <si>
    <t>σt =</t>
  </si>
  <si>
    <t>N/mm2 (引張部)</t>
  </si>
  <si>
    <t>腹板の縁応力度（最大負モーメント時）</t>
  </si>
  <si>
    <t>腹板のせん断応力度</t>
  </si>
  <si>
    <t>τmax =</t>
  </si>
  <si>
    <t>使用垂直補剛材の幅</t>
  </si>
  <si>
    <t>使用垂直補剛材の板厚</t>
  </si>
  <si>
    <t>垂直補剛材の間隔</t>
  </si>
  <si>
    <r>
      <t xml:space="preserve">1 </t>
    </r>
    <r>
      <rPr>
        <sz val="9"/>
        <rFont val="돋움체"/>
        <family val="3"/>
      </rPr>
      <t>段</t>
    </r>
  </si>
  <si>
    <r>
      <t xml:space="preserve">2 </t>
    </r>
    <r>
      <rPr>
        <sz val="9"/>
        <rFont val="돋움체"/>
        <family val="3"/>
      </rPr>
      <t>段</t>
    </r>
  </si>
  <si>
    <t xml:space="preserve">    2) 水平補剛材の設計</t>
  </si>
  <si>
    <t>6.2 支点部補剛材</t>
  </si>
  <si>
    <t>(1) 端支点部</t>
  </si>
  <si>
    <t>使用鋼種</t>
  </si>
  <si>
    <t>SM490Y</t>
  </si>
  <si>
    <t>最大支点反力</t>
  </si>
  <si>
    <t xml:space="preserve">kN </t>
  </si>
  <si>
    <t>補剛材の幅</t>
  </si>
  <si>
    <t>mm</t>
  </si>
  <si>
    <t>補剛材の長さ</t>
  </si>
  <si>
    <t>補剛材の板厚</t>
  </si>
  <si>
    <r>
      <t>＞   ts</t>
    </r>
    <r>
      <rPr>
        <vertAlign val="subscript"/>
        <sz val="9"/>
        <rFont val="ＭＳ ゴシック"/>
        <family val="3"/>
      </rPr>
      <t>min</t>
    </r>
    <r>
      <rPr>
        <sz val="9"/>
        <rFont val="ＭＳ ゴシック"/>
        <family val="3"/>
      </rPr>
      <t xml:space="preserve"> = </t>
    </r>
  </si>
  <si>
    <t>補剛材の設置間隔</t>
  </si>
  <si>
    <t>補剛材の使用列数</t>
  </si>
  <si>
    <r>
      <t>* 局部座屈を考慮しない許容圧縮応力 (N/</t>
    </r>
    <r>
      <rPr>
        <sz val="9"/>
        <rFont val="돋움"/>
        <family val="2"/>
      </rPr>
      <t>㎟</t>
    </r>
    <r>
      <rPr>
        <sz val="9"/>
        <rFont val="ＭＳ ゴシック"/>
        <family val="3"/>
      </rPr>
      <t>) - 表 3.2.2</t>
    </r>
  </si>
  <si>
    <t>腹板の板厚</t>
  </si>
  <si>
    <t>SS400</t>
  </si>
  <si>
    <t>SM400</t>
  </si>
  <si>
    <t>SMA400</t>
  </si>
  <si>
    <t>SM400C-H</t>
  </si>
  <si>
    <t>SM490C-H</t>
  </si>
  <si>
    <t>SM520</t>
  </si>
  <si>
    <t>SMA490</t>
  </si>
  <si>
    <t>SM520C-H</t>
  </si>
  <si>
    <t>SM570</t>
  </si>
  <si>
    <t>SMA570</t>
  </si>
  <si>
    <t>SM570-H</t>
  </si>
  <si>
    <t>mm  なので</t>
  </si>
  <si>
    <t>断面有効幅</t>
  </si>
  <si>
    <t>適用</t>
  </si>
  <si>
    <r>
      <t>mm</t>
    </r>
    <r>
      <rPr>
        <vertAlign val="superscript"/>
        <sz val="9"/>
        <rFont val="ＭＳ ゴシック"/>
        <family val="3"/>
      </rPr>
      <t>2</t>
    </r>
  </si>
  <si>
    <t>板厚</t>
  </si>
  <si>
    <t>有効断面積</t>
  </si>
  <si>
    <t>したがって、有効断面積   Ae =</t>
  </si>
  <si>
    <t>腹板中心線周囲の断面二次モーメント</t>
  </si>
  <si>
    <r>
      <t>* 自由突出板の局部座屈に対する許容応力 (N/</t>
    </r>
    <r>
      <rPr>
        <sz val="9"/>
        <rFont val="돋움"/>
        <family val="2"/>
      </rPr>
      <t>㎟</t>
    </r>
    <r>
      <rPr>
        <sz val="9"/>
        <rFont val="ＭＳ ゴシック"/>
        <family val="3"/>
      </rPr>
      <t>) - 表 4.2.3</t>
    </r>
  </si>
  <si>
    <r>
      <t>mm</t>
    </r>
    <r>
      <rPr>
        <vertAlign val="superscript"/>
        <sz val="9"/>
        <rFont val="ＭＳ ゴシック"/>
        <family val="3"/>
      </rPr>
      <t>4</t>
    </r>
  </si>
  <si>
    <t>断面二次半径</t>
  </si>
  <si>
    <t>有効座屈長</t>
  </si>
  <si>
    <t>許容軸方向圧縮応力</t>
  </si>
  <si>
    <r>
      <t>* 許容引張, 圧縮応力 (N/</t>
    </r>
    <r>
      <rPr>
        <sz val="9"/>
        <rFont val="돋움"/>
        <family val="2"/>
      </rPr>
      <t>㎟</t>
    </r>
    <r>
      <rPr>
        <sz val="9"/>
        <rFont val="ＭＳ ゴシック"/>
        <family val="3"/>
      </rPr>
      <t>)</t>
    </r>
  </si>
  <si>
    <t>le/r =</t>
  </si>
  <si>
    <t>⇒</t>
  </si>
  <si>
    <t>σcag =</t>
  </si>
  <si>
    <t>：局部座屈を考慮しない許容軸方向圧縮応力度</t>
  </si>
  <si>
    <t>σcal =</t>
  </si>
  <si>
    <t>：局部座屈に対する許容応力</t>
  </si>
  <si>
    <t>σcao =</t>
  </si>
  <si>
    <t>：局部座屈を考慮しない最大許容軸方向圧縮応力</t>
  </si>
  <si>
    <t>40-75</t>
  </si>
  <si>
    <t>σca =  σcag ·σcal  /  σcao =</t>
  </si>
  <si>
    <t>：許容軸方向圧縮応力</t>
  </si>
  <si>
    <t>75-100</t>
  </si>
  <si>
    <t>σc = Rmax / Ae =</t>
  </si>
  <si>
    <t>σca</t>
  </si>
  <si>
    <t>(2) 中間支点部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</si>
</sst>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0"/>
    <numFmt numFmtId="185" formatCode="0.0_);[Red]\(0.0\)"/>
    <numFmt numFmtId="186" formatCode="0.000_ "/>
    <numFmt numFmtId="187" formatCode="0_ "/>
    <numFmt numFmtId="188" formatCode="_(&quot;$&quot;* #,##0_);_(&quot;$&quot;* \(#,##0\);_(&quot;$&quot;* &quot;-&quot;_);_(@_)"/>
    <numFmt numFmtId="189" formatCode="0.0"/>
    <numFmt numFmtId="190" formatCode="&quot;H&quot;0"/>
    <numFmt numFmtId="191" formatCode="0.00&quot; ㎠&quot;"/>
    <numFmt numFmtId="192" formatCode="&quot;T = &quot;0&quot; ㎝&quot;"/>
    <numFmt numFmtId="193" formatCode="mm&quot;월&quot;\ dd&quot;일&quot;"/>
    <numFmt numFmtId="194" formatCode="0&quot;³＋&quot;"/>
    <numFmt numFmtId="195" formatCode="0.0&quot;³/12 ＋&quot;"/>
    <numFmt numFmtId="196" formatCode="0.00&quot;²&quot;"/>
    <numFmt numFmtId="197" formatCode="0_);[Red]\(0\)"/>
    <numFmt numFmtId="198" formatCode="0.0_ "/>
    <numFmt numFmtId="199" formatCode="0.00_ "/>
    <numFmt numFmtId="200" formatCode="0.0&quot; ×&quot;"/>
    <numFmt numFmtId="201" formatCode="0.00\ &quot;/&quot;\ "/>
    <numFmt numFmtId="202" formatCode="0.000&quot;²&quot;"/>
    <numFmt numFmtId="203" formatCode="&quot;(&quot;0.000\ "/>
    <numFmt numFmtId="204" formatCode="0.000\ "/>
    <numFmt numFmtId="205" formatCode="0\ "/>
    <numFmt numFmtId="206" formatCode="0.0\ "/>
    <numFmt numFmtId="207" formatCode="0.00\ "/>
    <numFmt numFmtId="208" formatCode="0.0&quot;²&quot;"/>
    <numFmt numFmtId="209" formatCode="0.00_);[Red]\(0.00\)"/>
    <numFmt numFmtId="210" formatCode="0.0000000_ "/>
    <numFmt numFmtId="211" formatCode="0.000&quot; kN  (節点&quot;\ "/>
    <numFmt numFmtId="212" formatCode="0;[Red]0"/>
    <numFmt numFmtId="213" formatCode="###0.000"/>
    <numFmt numFmtId="214" formatCode="###0"/>
    <numFmt numFmtId="215" formatCode="###0.0"/>
    <numFmt numFmtId="216" formatCode="0_);[Black]\(0\)"/>
    <numFmt numFmtId="217" formatCode="0_);[Black]General"/>
    <numFmt numFmtId="218" formatCode="###0.00"/>
  </numFmts>
  <fonts count="29">
    <font>
      <sz val="11"/>
      <name val="돋움"/>
      <family val="2"/>
    </font>
    <font>
      <b/>
      <sz val="11"/>
      <name val="돋움"/>
      <family val="2"/>
    </font>
    <font>
      <i/>
      <sz val="11"/>
      <name val="돋움"/>
      <family val="2"/>
    </font>
    <font>
      <b/>
      <i/>
      <sz val="11"/>
      <name val="돋움"/>
      <family val="2"/>
    </font>
    <font>
      <sz val="12"/>
      <name val="바탕체"/>
      <family val="3"/>
    </font>
    <font>
      <sz val="10"/>
      <name val="Arial"/>
      <family val="2"/>
    </font>
    <font>
      <sz val="10"/>
      <name val="Times New Roman"/>
      <family val="1"/>
    </font>
    <font>
      <sz val="10"/>
      <name val="굴림체"/>
      <family val="3"/>
    </font>
    <font>
      <sz val="9"/>
      <name val="굴림체"/>
      <family val="3"/>
    </font>
    <font>
      <sz val="9"/>
      <color indexed="14"/>
      <name val="굴림체"/>
      <family val="3"/>
    </font>
    <font>
      <sz val="8"/>
      <name val="굴림체"/>
      <family val="3"/>
    </font>
    <font>
      <u val="single"/>
      <sz val="10"/>
      <color indexed="36"/>
      <name val="굴림체"/>
      <family val="3"/>
    </font>
    <font>
      <u val="single"/>
      <sz val="10"/>
      <color indexed="12"/>
      <name val="굴림체"/>
      <family val="3"/>
    </font>
    <font>
      <sz val="8"/>
      <name val="돋움"/>
      <family val="2"/>
    </font>
    <font>
      <sz val="9"/>
      <name val="돋움체"/>
      <family val="3"/>
    </font>
    <font>
      <i/>
      <sz val="12"/>
      <color indexed="8"/>
      <name val="Symbol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ymbol"/>
      <family val="1"/>
    </font>
    <font>
      <i/>
      <sz val="12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vertAlign val="subscript"/>
      <sz val="9"/>
      <name val="ＭＳ ゴシック"/>
      <family val="3"/>
    </font>
    <font>
      <i/>
      <sz val="9"/>
      <name val="ＭＳ ゴシック"/>
      <family val="3"/>
    </font>
    <font>
      <vertAlign val="superscript"/>
      <sz val="9"/>
      <name val="ＭＳ ゴシック"/>
      <family val="3"/>
    </font>
    <font>
      <sz val="7"/>
      <name val="ＭＳ ゴシック"/>
      <family val="3"/>
    </font>
    <font>
      <sz val="9"/>
      <name val="돋움"/>
      <family val="2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7" fillId="0" borderId="0">
      <alignment/>
      <protection locked="0"/>
    </xf>
    <xf numFmtId="41" fontId="5" fillId="0" borderId="0" applyFont="0" applyFill="0" applyBorder="0" applyAlignment="0" applyProtection="0"/>
    <xf numFmtId="190" fontId="7" fillId="0" borderId="0">
      <alignment/>
      <protection locked="0"/>
    </xf>
    <xf numFmtId="191" fontId="7" fillId="0" borderId="0">
      <alignment/>
      <protection locked="0"/>
    </xf>
    <xf numFmtId="188" fontId="5" fillId="0" borderId="0" applyFont="0" applyFill="0" applyBorder="0" applyAlignment="0" applyProtection="0"/>
    <xf numFmtId="190" fontId="7" fillId="0" borderId="0">
      <alignment/>
      <protection locked="0"/>
    </xf>
    <xf numFmtId="191" fontId="7" fillId="0" borderId="0">
      <alignment/>
      <protection locked="0"/>
    </xf>
    <xf numFmtId="191" fontId="7" fillId="0" borderId="0">
      <alignment/>
      <protection locked="0"/>
    </xf>
    <xf numFmtId="191" fontId="7" fillId="0" borderId="0">
      <alignment/>
      <protection locked="0"/>
    </xf>
    <xf numFmtId="191" fontId="7" fillId="0" borderId="0">
      <alignment/>
      <protection locked="0"/>
    </xf>
    <xf numFmtId="0" fontId="6" fillId="0" borderId="0">
      <alignment/>
      <protection/>
    </xf>
    <xf numFmtId="191" fontId="7" fillId="0" borderId="0">
      <alignment/>
      <protection locked="0"/>
    </xf>
    <xf numFmtId="191" fontId="7" fillId="0" borderId="1">
      <alignment/>
      <protection locked="0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1" fontId="4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164">
    <xf numFmtId="0" fontId="0" fillId="0" borderId="0" xfId="0" applyAlignment="1">
      <alignment/>
    </xf>
    <xf numFmtId="0" fontId="21" fillId="0" borderId="0" xfId="37" applyFont="1" applyFill="1" applyAlignment="1">
      <alignment vertical="center"/>
      <protection/>
    </xf>
    <xf numFmtId="0" fontId="21" fillId="0" borderId="0" xfId="37" applyFont="1" applyAlignment="1">
      <alignment vertical="center"/>
      <protection/>
    </xf>
    <xf numFmtId="0" fontId="22" fillId="0" borderId="0" xfId="37" applyFont="1" applyFill="1" applyAlignment="1" quotePrefix="1">
      <alignment horizontal="left" vertical="center"/>
      <protection/>
    </xf>
    <xf numFmtId="0" fontId="22" fillId="0" borderId="0" xfId="37" applyFont="1" applyFill="1" applyAlignment="1">
      <alignment vertical="center"/>
      <protection/>
    </xf>
    <xf numFmtId="0" fontId="22" fillId="0" borderId="0" xfId="37" applyFont="1" applyFill="1" applyAlignment="1">
      <alignment horizontal="right" vertical="center"/>
      <protection/>
    </xf>
    <xf numFmtId="0" fontId="22" fillId="0" borderId="0" xfId="37" applyFont="1" applyAlignment="1">
      <alignment vertical="center"/>
      <protection/>
    </xf>
    <xf numFmtId="0" fontId="22" fillId="0" borderId="0" xfId="37" applyFont="1" applyFill="1" applyAlignment="1">
      <alignment horizontal="center" vertical="center"/>
      <protection/>
    </xf>
    <xf numFmtId="0" fontId="22" fillId="0" borderId="0" xfId="37" applyFont="1" applyFill="1" applyAlignment="1" quotePrefix="1">
      <alignment horizontal="center" vertical="center"/>
      <protection/>
    </xf>
    <xf numFmtId="189" fontId="22" fillId="0" borderId="0" xfId="37" applyNumberFormat="1" applyFont="1" applyFill="1" applyAlignment="1">
      <alignment horizontal="centerContinuous" vertical="center"/>
      <protection/>
    </xf>
    <xf numFmtId="0" fontId="22" fillId="0" borderId="0" xfId="37" applyFont="1" applyFill="1" applyAlignment="1">
      <alignment horizontal="centerContinuous" vertical="center"/>
      <protection/>
    </xf>
    <xf numFmtId="184" fontId="22" fillId="0" borderId="0" xfId="37" applyNumberFormat="1" applyFont="1" applyFill="1" applyAlignment="1">
      <alignment horizontal="centerContinuous" vertical="center"/>
      <protection/>
    </xf>
    <xf numFmtId="0" fontId="22" fillId="0" borderId="0" xfId="37" applyFont="1" applyFill="1">
      <alignment/>
      <protection/>
    </xf>
    <xf numFmtId="186" fontId="22" fillId="0" borderId="0" xfId="37" applyNumberFormat="1" applyFont="1" applyFill="1" applyAlignment="1">
      <alignment horizontal="centerContinuous" vertical="center"/>
      <protection/>
    </xf>
    <xf numFmtId="0" fontId="22" fillId="0" borderId="2" xfId="37" applyFont="1" applyFill="1" applyBorder="1" applyAlignment="1">
      <alignment vertical="center"/>
      <protection/>
    </xf>
    <xf numFmtId="0" fontId="22" fillId="0" borderId="2" xfId="37" applyFont="1" applyFill="1" applyBorder="1" applyAlignment="1">
      <alignment horizontal="center" vertical="center"/>
      <protection/>
    </xf>
    <xf numFmtId="0" fontId="22" fillId="0" borderId="2" xfId="37" applyFont="1" applyFill="1" applyBorder="1" applyAlignment="1">
      <alignment horizontal="centerContinuous" vertical="center"/>
      <protection/>
    </xf>
    <xf numFmtId="0" fontId="22" fillId="0" borderId="0" xfId="37" applyFont="1" applyAlignment="1">
      <alignment horizontal="right" vertical="center"/>
      <protection/>
    </xf>
    <xf numFmtId="0" fontId="22" fillId="0" borderId="0" xfId="37" applyFont="1" applyFill="1" applyAlignment="1">
      <alignment horizontal="left" vertical="center"/>
      <protection/>
    </xf>
    <xf numFmtId="198" fontId="22" fillId="0" borderId="0" xfId="37" applyNumberFormat="1" applyFont="1" applyFill="1" applyAlignment="1">
      <alignment horizontal="centerContinuous" vertical="center"/>
      <protection/>
    </xf>
    <xf numFmtId="185" fontId="22" fillId="0" borderId="0" xfId="37" applyNumberFormat="1" applyFont="1" applyFill="1" applyAlignment="1">
      <alignment horizontal="centerContinuous" vertical="center"/>
      <protection/>
    </xf>
    <xf numFmtId="0" fontId="22" fillId="0" borderId="0" xfId="37" applyFont="1" applyFill="1" applyAlignment="1">
      <alignment vertical="top"/>
      <protection/>
    </xf>
    <xf numFmtId="189" fontId="22" fillId="0" borderId="0" xfId="37" applyNumberFormat="1" applyFont="1" applyFill="1" applyAlignment="1">
      <alignment vertical="center"/>
      <protection/>
    </xf>
    <xf numFmtId="0" fontId="22" fillId="0" borderId="0" xfId="37" applyFont="1" applyFill="1" applyAlignment="1" quotePrefix="1">
      <alignment vertical="center"/>
      <protection/>
    </xf>
    <xf numFmtId="0" fontId="22" fillId="0" borderId="0" xfId="37" applyFont="1" applyFill="1" applyAlignment="1">
      <alignment horizontal="left"/>
      <protection/>
    </xf>
    <xf numFmtId="199" fontId="22" fillId="0" borderId="0" xfId="37" applyNumberFormat="1" applyFont="1" applyFill="1" applyAlignment="1">
      <alignment horizontal="centerContinuous" vertical="center"/>
      <protection/>
    </xf>
    <xf numFmtId="202" fontId="22" fillId="0" borderId="0" xfId="37" applyNumberFormat="1" applyFont="1" applyFill="1" applyAlignment="1">
      <alignment horizontal="centerContinuous" vertical="center"/>
      <protection/>
    </xf>
    <xf numFmtId="209" fontId="22" fillId="0" borderId="0" xfId="37" applyNumberFormat="1" applyFont="1" applyFill="1" applyAlignment="1">
      <alignment horizontal="centerContinuous" vertical="center"/>
      <protection/>
    </xf>
    <xf numFmtId="0" fontId="26" fillId="0" borderId="0" xfId="37" applyFont="1" applyFill="1" applyAlignment="1">
      <alignment horizontal="center" vertical="center"/>
      <protection/>
    </xf>
    <xf numFmtId="199" fontId="22" fillId="0" borderId="2" xfId="37" applyNumberFormat="1" applyFont="1" applyFill="1" applyBorder="1" applyAlignment="1">
      <alignment horizontal="centerContinuous" vertical="center"/>
      <protection/>
    </xf>
    <xf numFmtId="0" fontId="26" fillId="0" borderId="0" xfId="37" applyFont="1" applyFill="1" applyAlignment="1">
      <alignment horizontal="left" vertical="top"/>
      <protection/>
    </xf>
    <xf numFmtId="210" fontId="22" fillId="0" borderId="0" xfId="37" applyNumberFormat="1" applyFont="1" applyFill="1" applyAlignment="1">
      <alignment horizontal="centerContinuous" vertical="center"/>
      <protection/>
    </xf>
    <xf numFmtId="0" fontId="21" fillId="0" borderId="0" xfId="39" applyFont="1" applyFill="1" applyAlignment="1" quotePrefix="1">
      <alignment horizontal="left" vertical="center"/>
      <protection/>
    </xf>
    <xf numFmtId="0" fontId="21" fillId="0" borderId="0" xfId="39" applyFont="1" applyFill="1" applyAlignment="1">
      <alignment vertical="center"/>
      <protection/>
    </xf>
    <xf numFmtId="0" fontId="22" fillId="0" borderId="0" xfId="39" applyFont="1" applyFill="1" applyAlignment="1">
      <alignment vertical="center"/>
      <protection/>
    </xf>
    <xf numFmtId="0" fontId="22" fillId="0" borderId="0" xfId="39" applyFont="1" applyFill="1" applyBorder="1" applyAlignment="1" quotePrefix="1">
      <alignment vertical="center"/>
      <protection/>
    </xf>
    <xf numFmtId="0" fontId="22" fillId="0" borderId="0" xfId="39" applyFont="1" applyFill="1" applyBorder="1" applyAlignment="1">
      <alignment vertical="center"/>
      <protection/>
    </xf>
    <xf numFmtId="189" fontId="22" fillId="0" borderId="0" xfId="39" applyNumberFormat="1" applyFont="1" applyFill="1" applyBorder="1" applyAlignment="1">
      <alignment horizontal="centerContinuous" vertical="center"/>
      <protection/>
    </xf>
    <xf numFmtId="184" fontId="22" fillId="0" borderId="0" xfId="39" applyNumberFormat="1" applyFont="1" applyFill="1" applyBorder="1" applyAlignment="1">
      <alignment horizontal="centerContinuous" vertical="center"/>
      <protection/>
    </xf>
    <xf numFmtId="0" fontId="22" fillId="0" borderId="0" xfId="39" applyFont="1" applyFill="1" applyAlignment="1">
      <alignment horizontal="center" vertical="center"/>
      <protection/>
    </xf>
    <xf numFmtId="189" fontId="22" fillId="0" borderId="0" xfId="39" applyNumberFormat="1" applyFont="1" applyFill="1" applyAlignment="1">
      <alignment horizontal="centerContinuous" vertical="center"/>
      <protection/>
    </xf>
    <xf numFmtId="187" fontId="22" fillId="0" borderId="0" xfId="39" applyNumberFormat="1" applyFont="1" applyFill="1" applyAlignment="1">
      <alignment horizontal="centerContinuous" vertical="center"/>
      <protection/>
    </xf>
    <xf numFmtId="0" fontId="22" fillId="0" borderId="0" xfId="39" applyFont="1" applyFill="1" applyAlignment="1">
      <alignment horizontal="centerContinuous" vertical="center"/>
      <protection/>
    </xf>
    <xf numFmtId="198" fontId="22" fillId="0" borderId="0" xfId="39" applyNumberFormat="1" applyFont="1" applyFill="1" applyAlignment="1">
      <alignment horizontal="centerContinuous" vertical="center"/>
      <protection/>
    </xf>
    <xf numFmtId="0" fontId="22" fillId="0" borderId="0" xfId="39" applyFont="1" applyFill="1">
      <alignment/>
      <protection/>
    </xf>
    <xf numFmtId="184" fontId="22" fillId="0" borderId="0" xfId="39" applyNumberFormat="1" applyFont="1" applyFill="1" applyAlignment="1">
      <alignment horizontal="centerContinuous" vertical="center"/>
      <protection/>
    </xf>
    <xf numFmtId="185" fontId="22" fillId="0" borderId="0" xfId="39" applyNumberFormat="1" applyFont="1" applyFill="1" applyAlignment="1">
      <alignment horizontal="centerContinuous" vertical="center"/>
      <protection/>
    </xf>
    <xf numFmtId="0" fontId="24" fillId="0" borderId="0" xfId="39" applyFont="1" applyFill="1" applyAlignment="1">
      <alignment vertical="center"/>
      <protection/>
    </xf>
    <xf numFmtId="0" fontId="22" fillId="0" borderId="0" xfId="39" applyFont="1" applyFill="1" applyAlignment="1" quotePrefix="1">
      <alignment vertical="center"/>
      <protection/>
    </xf>
    <xf numFmtId="0" fontId="22" fillId="0" borderId="0" xfId="38" applyFont="1" applyFill="1" applyBorder="1" applyAlignment="1">
      <alignment horizontal="left" vertical="center"/>
      <protection/>
    </xf>
    <xf numFmtId="204" fontId="22" fillId="0" borderId="2" xfId="0" applyNumberFormat="1" applyFont="1" applyFill="1" applyBorder="1" applyAlignment="1">
      <alignment horizontal="left" vertical="center"/>
    </xf>
    <xf numFmtId="187" fontId="22" fillId="0" borderId="0" xfId="37" applyNumberFormat="1" applyFont="1" applyFill="1" applyAlignment="1">
      <alignment horizontal="centerContinuous" vertical="center"/>
      <protection/>
    </xf>
    <xf numFmtId="0" fontId="22" fillId="0" borderId="0" xfId="39" applyFont="1" applyFill="1" applyBorder="1" applyAlignment="1">
      <alignment horizontal="centerContinuous" vertical="center"/>
      <protection/>
    </xf>
    <xf numFmtId="0" fontId="22" fillId="0" borderId="0" xfId="39" applyFont="1" applyFill="1" applyBorder="1" applyAlignment="1" quotePrefix="1">
      <alignment horizontal="left" vertical="center"/>
      <protection/>
    </xf>
    <xf numFmtId="1" fontId="22" fillId="0" borderId="0" xfId="39" applyNumberFormat="1" applyFont="1" applyFill="1" applyBorder="1" applyAlignment="1">
      <alignment horizontal="centerContinuous" vertical="center"/>
      <protection/>
    </xf>
    <xf numFmtId="0" fontId="8" fillId="0" borderId="0" xfId="39" applyFont="1" applyFill="1" applyAlignment="1">
      <alignment vertical="center"/>
      <protection/>
    </xf>
    <xf numFmtId="0" fontId="22" fillId="0" borderId="0" xfId="39" applyNumberFormat="1" applyFont="1" applyFill="1" applyBorder="1" applyAlignment="1">
      <alignment horizontal="right" vertical="center"/>
      <protection/>
    </xf>
    <xf numFmtId="0" fontId="21" fillId="0" borderId="0" xfId="37" applyFont="1" applyFill="1" applyAlignment="1" quotePrefix="1">
      <alignment horizontal="left" vertical="center"/>
      <protection/>
    </xf>
    <xf numFmtId="0" fontId="21" fillId="0" borderId="0" xfId="37" applyFont="1" applyFill="1" applyAlignment="1">
      <alignment horizontal="left" vertical="center"/>
      <protection/>
    </xf>
    <xf numFmtId="0" fontId="22" fillId="0" borderId="0" xfId="0" applyFont="1" applyAlignment="1">
      <alignment vertical="center"/>
    </xf>
    <xf numFmtId="204" fontId="22" fillId="0" borderId="2" xfId="0" applyNumberFormat="1" applyFont="1" applyBorder="1" applyAlignment="1">
      <alignment horizontal="left" vertical="center"/>
    </xf>
    <xf numFmtId="213" fontId="21" fillId="0" borderId="0" xfId="0" applyNumberFormat="1" applyFont="1" applyAlignment="1" quotePrefix="1">
      <alignment vertical="center"/>
    </xf>
    <xf numFmtId="213" fontId="21" fillId="0" borderId="0" xfId="39" applyNumberFormat="1" applyFont="1" applyFill="1" applyAlignment="1">
      <alignment horizontal="left" vertical="center"/>
      <protection/>
    </xf>
    <xf numFmtId="205" fontId="22" fillId="0" borderId="3" xfId="0" applyNumberFormat="1" applyFont="1" applyBorder="1" applyAlignment="1">
      <alignment horizontal="center" vertical="center"/>
    </xf>
    <xf numFmtId="205" fontId="22" fillId="0" borderId="4" xfId="0" applyNumberFormat="1" applyFont="1" applyBorder="1" applyAlignment="1">
      <alignment horizontal="center" vertical="center"/>
    </xf>
    <xf numFmtId="205" fontId="22" fillId="0" borderId="5" xfId="0" applyNumberFormat="1" applyFont="1" applyBorder="1" applyAlignment="1">
      <alignment horizontal="center" vertical="center"/>
    </xf>
    <xf numFmtId="204" fontId="22" fillId="0" borderId="3" xfId="0" applyNumberFormat="1" applyFont="1" applyBorder="1" applyAlignment="1">
      <alignment horizontal="center" vertical="center"/>
    </xf>
    <xf numFmtId="204" fontId="22" fillId="0" borderId="4" xfId="0" applyNumberFormat="1" applyFont="1" applyBorder="1" applyAlignment="1">
      <alignment horizontal="center" vertical="center"/>
    </xf>
    <xf numFmtId="204" fontId="22" fillId="0" borderId="5" xfId="0" applyNumberFormat="1" applyFont="1" applyBorder="1" applyAlignment="1">
      <alignment horizontal="center" vertical="center"/>
    </xf>
    <xf numFmtId="0" fontId="22" fillId="0" borderId="0" xfId="37" applyFont="1" applyFill="1" applyAlignment="1">
      <alignment horizontal="center" vertical="center"/>
      <protection/>
    </xf>
    <xf numFmtId="0" fontId="22" fillId="0" borderId="0" xfId="37" applyFont="1" applyFill="1" applyAlignment="1">
      <alignment horizontal="left" vertical="center"/>
      <protection/>
    </xf>
    <xf numFmtId="215" fontId="22" fillId="0" borderId="6" xfId="0" applyNumberFormat="1" applyFont="1" applyBorder="1" applyAlignment="1">
      <alignment horizontal="center" vertical="center"/>
    </xf>
    <xf numFmtId="215" fontId="22" fillId="0" borderId="7" xfId="0" applyNumberFormat="1" applyFont="1" applyBorder="1" applyAlignment="1">
      <alignment horizontal="center" vertical="center"/>
    </xf>
    <xf numFmtId="215" fontId="22" fillId="0" borderId="8" xfId="0" applyNumberFormat="1" applyFont="1" applyBorder="1" applyAlignment="1">
      <alignment horizontal="center" vertical="center"/>
    </xf>
    <xf numFmtId="218" fontId="22" fillId="0" borderId="6" xfId="0" applyNumberFormat="1" applyFont="1" applyBorder="1" applyAlignment="1">
      <alignment horizontal="center" vertical="center"/>
    </xf>
    <xf numFmtId="218" fontId="22" fillId="0" borderId="7" xfId="0" applyNumberFormat="1" applyFont="1" applyBorder="1" applyAlignment="1">
      <alignment horizontal="center" vertical="center"/>
    </xf>
    <xf numFmtId="218" fontId="22" fillId="0" borderId="8" xfId="0" applyNumberFormat="1" applyFont="1" applyBorder="1" applyAlignment="1">
      <alignment horizontal="center" vertical="center"/>
    </xf>
    <xf numFmtId="0" fontId="22" fillId="0" borderId="0" xfId="39" applyNumberFormat="1" applyFont="1" applyFill="1" applyBorder="1" applyAlignment="1">
      <alignment horizontal="right" vertical="center"/>
      <protection/>
    </xf>
    <xf numFmtId="205" fontId="22" fillId="0" borderId="5" xfId="0" applyNumberFormat="1" applyFont="1" applyFill="1" applyBorder="1" applyAlignment="1">
      <alignment horizontal="center" vertical="center"/>
    </xf>
    <xf numFmtId="205" fontId="22" fillId="0" borderId="9" xfId="0" applyNumberFormat="1" applyFont="1" applyFill="1" applyBorder="1" applyAlignment="1">
      <alignment horizontal="center" vertical="center"/>
    </xf>
    <xf numFmtId="206" fontId="22" fillId="0" borderId="5" xfId="0" applyNumberFormat="1" applyFont="1" applyFill="1" applyBorder="1" applyAlignment="1">
      <alignment horizontal="center" vertical="center"/>
    </xf>
    <xf numFmtId="206" fontId="22" fillId="0" borderId="9" xfId="0" applyNumberFormat="1" applyFont="1" applyFill="1" applyBorder="1" applyAlignment="1">
      <alignment horizontal="center" vertical="center"/>
    </xf>
    <xf numFmtId="0" fontId="22" fillId="0" borderId="0" xfId="39" applyFont="1" applyFill="1" applyAlignment="1">
      <alignment horizontal="center" vertical="center"/>
      <protection/>
    </xf>
    <xf numFmtId="0" fontId="22" fillId="0" borderId="0" xfId="39" applyFont="1" applyFill="1" applyAlignment="1">
      <alignment vertical="center"/>
      <protection/>
    </xf>
    <xf numFmtId="187" fontId="22" fillId="0" borderId="0" xfId="39" applyNumberFormat="1" applyFont="1" applyFill="1" applyAlignment="1">
      <alignment horizontal="center" vertical="center"/>
      <protection/>
    </xf>
    <xf numFmtId="198" fontId="22" fillId="0" borderId="0" xfId="39" applyNumberFormat="1" applyFont="1" applyFill="1" applyAlignment="1">
      <alignment horizontal="center" vertical="center"/>
      <protection/>
    </xf>
    <xf numFmtId="204" fontId="22" fillId="0" borderId="3" xfId="0" applyNumberFormat="1" applyFont="1" applyFill="1" applyBorder="1" applyAlignment="1">
      <alignment horizontal="center" vertical="center"/>
    </xf>
    <xf numFmtId="204" fontId="22" fillId="0" borderId="4" xfId="0" applyNumberFormat="1" applyFont="1" applyFill="1" applyBorder="1" applyAlignment="1">
      <alignment horizontal="center" vertical="center"/>
    </xf>
    <xf numFmtId="204" fontId="22" fillId="0" borderId="5" xfId="0" applyNumberFormat="1" applyFont="1" applyFill="1" applyBorder="1" applyAlignment="1">
      <alignment horizontal="center" vertical="center"/>
    </xf>
    <xf numFmtId="204" fontId="22" fillId="0" borderId="2" xfId="0" applyNumberFormat="1" applyFont="1" applyFill="1" applyBorder="1" applyAlignment="1">
      <alignment horizontal="left" vertical="center"/>
    </xf>
    <xf numFmtId="205" fontId="22" fillId="0" borderId="3" xfId="0" applyNumberFormat="1" applyFont="1" applyFill="1" applyBorder="1" applyAlignment="1">
      <alignment horizontal="center" vertical="center"/>
    </xf>
    <xf numFmtId="205" fontId="22" fillId="0" borderId="4" xfId="0" applyNumberFormat="1" applyFont="1" applyFill="1" applyBorder="1" applyAlignment="1">
      <alignment horizontal="center" vertical="center"/>
    </xf>
    <xf numFmtId="204" fontId="22" fillId="0" borderId="10" xfId="0" applyNumberFormat="1" applyFont="1" applyFill="1" applyBorder="1" applyAlignment="1">
      <alignment horizontal="center" vertical="center"/>
    </xf>
    <xf numFmtId="204" fontId="22" fillId="0" borderId="0" xfId="0" applyNumberFormat="1" applyFont="1" applyFill="1" applyBorder="1" applyAlignment="1">
      <alignment horizontal="center" vertical="center"/>
    </xf>
    <xf numFmtId="204" fontId="22" fillId="0" borderId="11" xfId="0" applyNumberFormat="1" applyFont="1" applyFill="1" applyBorder="1" applyAlignment="1">
      <alignment horizontal="center" vertical="center"/>
    </xf>
    <xf numFmtId="205" fontId="22" fillId="0" borderId="12" xfId="0" applyNumberFormat="1" applyFont="1" applyFill="1" applyBorder="1" applyAlignment="1">
      <alignment horizontal="center" vertical="center"/>
    </xf>
    <xf numFmtId="207" fontId="22" fillId="0" borderId="5" xfId="0" applyNumberFormat="1" applyFont="1" applyFill="1" applyBorder="1" applyAlignment="1">
      <alignment horizontal="center" vertical="center"/>
    </xf>
    <xf numFmtId="207" fontId="22" fillId="0" borderId="9" xfId="0" applyNumberFormat="1" applyFont="1" applyFill="1" applyBorder="1" applyAlignment="1">
      <alignment horizontal="center" vertical="center"/>
    </xf>
    <xf numFmtId="207" fontId="22" fillId="0" borderId="3" xfId="0" applyNumberFormat="1" applyFont="1" applyFill="1" applyBorder="1" applyAlignment="1">
      <alignment horizontal="center" vertical="center"/>
    </xf>
    <xf numFmtId="207" fontId="22" fillId="0" borderId="4" xfId="0" applyNumberFormat="1" applyFont="1" applyFill="1" applyBorder="1" applyAlignment="1">
      <alignment horizontal="center" vertical="center"/>
    </xf>
    <xf numFmtId="213" fontId="22" fillId="0" borderId="6" xfId="0" applyNumberFormat="1" applyFont="1" applyBorder="1" applyAlignment="1">
      <alignment horizontal="center" vertical="center"/>
    </xf>
    <xf numFmtId="213" fontId="22" fillId="0" borderId="8" xfId="0" applyNumberFormat="1" applyFont="1" applyBorder="1" applyAlignment="1">
      <alignment horizontal="center" vertical="center"/>
    </xf>
    <xf numFmtId="214" fontId="22" fillId="0" borderId="6" xfId="0" applyNumberFormat="1" applyFont="1" applyBorder="1" applyAlignment="1">
      <alignment horizontal="center" vertical="center"/>
    </xf>
    <xf numFmtId="214" fontId="22" fillId="0" borderId="7" xfId="0" applyNumberFormat="1" applyFont="1" applyBorder="1" applyAlignment="1">
      <alignment horizontal="center" vertical="center"/>
    </xf>
    <xf numFmtId="214" fontId="22" fillId="0" borderId="8" xfId="0" applyNumberFormat="1" applyFont="1" applyBorder="1" applyAlignment="1">
      <alignment horizontal="center" vertical="center"/>
    </xf>
    <xf numFmtId="213" fontId="22" fillId="0" borderId="0" xfId="37" applyNumberFormat="1" applyFont="1" applyFill="1" applyAlignment="1">
      <alignment vertical="center"/>
      <protection/>
    </xf>
    <xf numFmtId="213" fontId="22" fillId="0" borderId="0" xfId="0" applyNumberFormat="1" applyFont="1" applyFill="1" applyAlignment="1">
      <alignment horizontal="center" vertical="center"/>
    </xf>
    <xf numFmtId="204" fontId="22" fillId="0" borderId="0" xfId="0" applyNumberFormat="1" applyFont="1" applyAlignment="1">
      <alignment vertical="center"/>
    </xf>
    <xf numFmtId="214" fontId="22" fillId="0" borderId="0" xfId="37" applyNumberFormat="1" applyFont="1" applyFill="1" applyAlignment="1">
      <alignment horizontal="center" vertical="center"/>
      <protection/>
    </xf>
    <xf numFmtId="204" fontId="22" fillId="0" borderId="3" xfId="0" applyNumberFormat="1" applyFont="1" applyBorder="1" applyAlignment="1">
      <alignment horizontal="center" vertical="center" wrapText="1"/>
    </xf>
    <xf numFmtId="204" fontId="22" fillId="0" borderId="4" xfId="0" applyNumberFormat="1" applyFont="1" applyBorder="1" applyAlignment="1">
      <alignment horizontal="center" vertical="center" wrapText="1"/>
    </xf>
    <xf numFmtId="204" fontId="22" fillId="0" borderId="5" xfId="0" applyNumberFormat="1" applyFont="1" applyBorder="1" applyAlignment="1">
      <alignment horizontal="center" vertical="center" wrapText="1"/>
    </xf>
    <xf numFmtId="213" fontId="22" fillId="0" borderId="0" xfId="37" applyNumberFormat="1" applyFont="1" applyFill="1" applyAlignment="1">
      <alignment horizontal="center" vertical="center"/>
      <protection/>
    </xf>
    <xf numFmtId="205" fontId="22" fillId="0" borderId="9" xfId="0" applyNumberFormat="1" applyFont="1" applyBorder="1" applyAlignment="1">
      <alignment horizontal="center" vertical="center"/>
    </xf>
    <xf numFmtId="213" fontId="22" fillId="0" borderId="0" xfId="0" applyNumberFormat="1" applyFont="1" applyAlignment="1">
      <alignment horizontal="center" vertical="center"/>
    </xf>
    <xf numFmtId="204" fontId="22" fillId="0" borderId="9" xfId="0" applyNumberFormat="1" applyFont="1" applyBorder="1" applyAlignment="1" quotePrefix="1">
      <alignment horizontal="center" vertical="center"/>
    </xf>
    <xf numFmtId="215" fontId="22" fillId="0" borderId="0" xfId="37" applyNumberFormat="1" applyFont="1" applyFill="1" applyAlignment="1">
      <alignment horizontal="center" vertical="center"/>
      <protection/>
    </xf>
    <xf numFmtId="215" fontId="22" fillId="0" borderId="0" xfId="0" applyNumberFormat="1" applyFont="1" applyAlignment="1">
      <alignment horizontal="center" vertical="center"/>
    </xf>
    <xf numFmtId="214" fontId="22" fillId="0" borderId="0" xfId="37" applyNumberFormat="1" applyFont="1" applyFill="1" applyAlignment="1">
      <alignment horizontal="center" vertical="center"/>
      <protection/>
    </xf>
    <xf numFmtId="214" fontId="22" fillId="0" borderId="0" xfId="0" applyNumberFormat="1" applyFont="1" applyAlignment="1">
      <alignment horizontal="center" vertical="center"/>
    </xf>
    <xf numFmtId="205" fontId="22" fillId="0" borderId="13" xfId="0" applyNumberFormat="1" applyFont="1" applyBorder="1" applyAlignment="1">
      <alignment horizontal="center" vertical="center"/>
    </xf>
    <xf numFmtId="205" fontId="22" fillId="0" borderId="14" xfId="0" applyNumberFormat="1" applyFont="1" applyBorder="1" applyAlignment="1">
      <alignment horizontal="center" vertical="center"/>
    </xf>
    <xf numFmtId="205" fontId="22" fillId="0" borderId="15" xfId="0" applyNumberFormat="1" applyFont="1" applyBorder="1" applyAlignment="1">
      <alignment horizontal="center" vertical="center"/>
    </xf>
    <xf numFmtId="205" fontId="22" fillId="0" borderId="12" xfId="0" applyNumberFormat="1" applyFont="1" applyBorder="1" applyAlignment="1">
      <alignment horizontal="center" vertical="center"/>
    </xf>
    <xf numFmtId="205" fontId="22" fillId="0" borderId="16" xfId="0" applyNumberFormat="1" applyFont="1" applyBorder="1" applyAlignment="1">
      <alignment horizontal="center" vertical="center"/>
    </xf>
    <xf numFmtId="205" fontId="22" fillId="0" borderId="2" xfId="0" applyNumberFormat="1" applyFont="1" applyBorder="1" applyAlignment="1">
      <alignment horizontal="center" vertical="center"/>
    </xf>
    <xf numFmtId="205" fontId="22" fillId="0" borderId="17" xfId="0" applyNumberFormat="1" applyFont="1" applyBorder="1" applyAlignment="1">
      <alignment horizontal="center" vertical="center"/>
    </xf>
    <xf numFmtId="199" fontId="22" fillId="0" borderId="0" xfId="37" applyNumberFormat="1" applyFont="1" applyFill="1" applyAlignment="1">
      <alignment horizontal="center" vertical="center"/>
      <protection/>
    </xf>
    <xf numFmtId="189" fontId="22" fillId="0" borderId="0" xfId="37" applyNumberFormat="1" applyFont="1" applyFill="1" applyAlignment="1">
      <alignment horizontal="center" vertical="center"/>
      <protection/>
    </xf>
    <xf numFmtId="213" fontId="22" fillId="0" borderId="0" xfId="0" applyNumberFormat="1" applyFont="1" applyAlignment="1">
      <alignment vertical="center"/>
    </xf>
    <xf numFmtId="213" fontId="22" fillId="0" borderId="18" xfId="0" applyNumberFormat="1" applyFont="1" applyBorder="1" applyAlignment="1">
      <alignment horizontal="center" vertical="center"/>
    </xf>
    <xf numFmtId="213" fontId="22" fillId="0" borderId="19" xfId="0" applyNumberFormat="1" applyFont="1" applyBorder="1" applyAlignment="1">
      <alignment horizontal="center" vertical="center"/>
    </xf>
    <xf numFmtId="213" fontId="22" fillId="0" borderId="20" xfId="0" applyNumberFormat="1" applyFont="1" applyBorder="1" applyAlignment="1">
      <alignment horizontal="center" vertical="center"/>
    </xf>
    <xf numFmtId="213" fontId="22" fillId="0" borderId="7" xfId="0" applyNumberFormat="1" applyFont="1" applyBorder="1" applyAlignment="1">
      <alignment horizontal="center" vertical="center"/>
    </xf>
    <xf numFmtId="213" fontId="22" fillId="0" borderId="21" xfId="0" applyNumberFormat="1" applyFont="1" applyBorder="1" applyAlignment="1">
      <alignment horizontal="center" vertical="center"/>
    </xf>
    <xf numFmtId="213" fontId="22" fillId="0" borderId="22" xfId="0" applyNumberFormat="1" applyFont="1" applyBorder="1" applyAlignment="1">
      <alignment horizontal="center" vertical="center"/>
    </xf>
    <xf numFmtId="213" fontId="22" fillId="0" borderId="23" xfId="0" applyNumberFormat="1" applyFont="1" applyBorder="1" applyAlignment="1">
      <alignment horizontal="center" vertical="center"/>
    </xf>
    <xf numFmtId="213" fontId="22" fillId="0" borderId="0" xfId="39" applyNumberFormat="1" applyFont="1" applyFill="1" applyAlignment="1">
      <alignment vertical="center"/>
      <protection/>
    </xf>
    <xf numFmtId="0" fontId="22" fillId="0" borderId="0" xfId="39" applyNumberFormat="1" applyFont="1" applyFill="1" applyBorder="1" applyAlignment="1">
      <alignment vertical="center"/>
      <protection/>
    </xf>
    <xf numFmtId="204" fontId="22" fillId="0" borderId="0" xfId="0" applyNumberFormat="1" applyFont="1" applyFill="1" applyAlignment="1">
      <alignment vertical="center"/>
    </xf>
    <xf numFmtId="213" fontId="22" fillId="0" borderId="0" xfId="39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214" fontId="22" fillId="0" borderId="0" xfId="39" applyNumberFormat="1" applyFont="1" applyFill="1" applyBorder="1" applyAlignment="1">
      <alignment horizontal="center" vertical="center"/>
      <protection/>
    </xf>
    <xf numFmtId="215" fontId="22" fillId="0" borderId="0" xfId="39" applyNumberFormat="1" applyFont="1" applyFill="1" applyBorder="1" applyAlignment="1">
      <alignment horizontal="center" vertical="center"/>
      <protection/>
    </xf>
    <xf numFmtId="206" fontId="22" fillId="0" borderId="0" xfId="0" applyNumberFormat="1" applyFont="1" applyFill="1" applyBorder="1" applyAlignment="1">
      <alignment horizontal="center" vertical="center"/>
    </xf>
    <xf numFmtId="206" fontId="22" fillId="0" borderId="2" xfId="0" applyNumberFormat="1" applyFont="1" applyFill="1" applyBorder="1" applyAlignment="1">
      <alignment horizontal="center" vertical="center"/>
    </xf>
    <xf numFmtId="204" fontId="22" fillId="0" borderId="3" xfId="0" applyNumberFormat="1" applyFont="1" applyFill="1" applyBorder="1" applyAlignment="1">
      <alignment horizontal="center" vertical="center" wrapText="1"/>
    </xf>
    <xf numFmtId="204" fontId="22" fillId="0" borderId="4" xfId="0" applyNumberFormat="1" applyFont="1" applyFill="1" applyBorder="1" applyAlignment="1">
      <alignment horizontal="center" vertical="center" wrapText="1"/>
    </xf>
    <xf numFmtId="204" fontId="22" fillId="0" borderId="5" xfId="0" applyNumberFormat="1" applyFont="1" applyFill="1" applyBorder="1" applyAlignment="1">
      <alignment horizontal="center" vertical="center" wrapText="1"/>
    </xf>
    <xf numFmtId="197" fontId="22" fillId="0" borderId="9" xfId="0" applyNumberFormat="1" applyFont="1" applyFill="1" applyBorder="1" applyAlignment="1">
      <alignment horizontal="center" vertical="center"/>
    </xf>
    <xf numFmtId="205" fontId="22" fillId="0" borderId="13" xfId="0" applyNumberFormat="1" applyFont="1" applyFill="1" applyBorder="1" applyAlignment="1">
      <alignment horizontal="center" vertical="center"/>
    </xf>
    <xf numFmtId="205" fontId="22" fillId="0" borderId="14" xfId="0" applyNumberFormat="1" applyFont="1" applyFill="1" applyBorder="1" applyAlignment="1">
      <alignment horizontal="center" vertical="center"/>
    </xf>
    <xf numFmtId="205" fontId="22" fillId="0" borderId="15" xfId="0" applyNumberFormat="1" applyFont="1" applyFill="1" applyBorder="1" applyAlignment="1">
      <alignment horizontal="center" vertical="center"/>
    </xf>
    <xf numFmtId="205" fontId="22" fillId="0" borderId="10" xfId="0" applyNumberFormat="1" applyFont="1" applyFill="1" applyBorder="1" applyAlignment="1">
      <alignment horizontal="center" vertical="center"/>
    </xf>
    <xf numFmtId="205" fontId="22" fillId="0" borderId="0" xfId="0" applyNumberFormat="1" applyFont="1" applyFill="1" applyBorder="1" applyAlignment="1">
      <alignment horizontal="center" vertical="center"/>
    </xf>
    <xf numFmtId="205" fontId="22" fillId="0" borderId="11" xfId="0" applyNumberFormat="1" applyFont="1" applyFill="1" applyBorder="1" applyAlignment="1">
      <alignment horizontal="center" vertical="center"/>
    </xf>
    <xf numFmtId="205" fontId="22" fillId="0" borderId="16" xfId="0" applyNumberFormat="1" applyFont="1" applyFill="1" applyBorder="1" applyAlignment="1">
      <alignment horizontal="center" vertical="center"/>
    </xf>
    <xf numFmtId="205" fontId="22" fillId="0" borderId="2" xfId="0" applyNumberFormat="1" applyFont="1" applyFill="1" applyBorder="1" applyAlignment="1">
      <alignment horizontal="center" vertical="center"/>
    </xf>
    <xf numFmtId="205" fontId="22" fillId="0" borderId="17" xfId="0" applyNumberFormat="1" applyFont="1" applyFill="1" applyBorder="1" applyAlignment="1">
      <alignment horizontal="center" vertical="center"/>
    </xf>
    <xf numFmtId="204" fontId="22" fillId="0" borderId="9" xfId="0" applyNumberFormat="1" applyFont="1" applyFill="1" applyBorder="1" applyAlignment="1" quotePrefix="1">
      <alignment horizontal="center" vertical="center"/>
    </xf>
    <xf numFmtId="213" fontId="0" fillId="0" borderId="19" xfId="0" applyNumberFormat="1" applyFont="1" applyBorder="1" applyAlignment="1">
      <alignment horizontal="center" vertical="center"/>
    </xf>
    <xf numFmtId="213" fontId="0" fillId="0" borderId="20" xfId="0" applyNumberFormat="1" applyFont="1" applyBorder="1" applyAlignment="1">
      <alignment horizontal="center" vertical="center"/>
    </xf>
    <xf numFmtId="213" fontId="0" fillId="0" borderId="22" xfId="0" applyNumberFormat="1" applyFont="1" applyBorder="1" applyAlignment="1">
      <alignment horizontal="center" vertical="center"/>
    </xf>
    <xf numFmtId="213" fontId="0" fillId="0" borderId="23" xfId="0" applyNumberFormat="1" applyFont="1" applyBorder="1" applyAlignment="1">
      <alignment horizontal="center" vertical="center"/>
    </xf>
  </cellXfs>
  <cellStyles count="26">
    <cellStyle name="Normal" xfId="0"/>
    <cellStyle name="Comma" xfId="15"/>
    <cellStyle name="Comma [0]_laroux" xfId="16"/>
    <cellStyle name="Comma_단면특성 (정) (2)" xfId="17"/>
    <cellStyle name="Currency" xfId="18"/>
    <cellStyle name="Currency [0]_laroux" xfId="19"/>
    <cellStyle name="Currency_단면특성 (정) (2)" xfId="20"/>
    <cellStyle name="Date" xfId="21"/>
    <cellStyle name="Fixed" xfId="22"/>
    <cellStyle name="Heading1" xfId="23"/>
    <cellStyle name="Heading2" xfId="24"/>
    <cellStyle name="Normal_Certs Q2" xfId="25"/>
    <cellStyle name="Percent" xfId="26"/>
    <cellStyle name="Total" xfId="27"/>
    <cellStyle name="Percent" xfId="28"/>
    <cellStyle name="Hyperlink" xfId="29"/>
    <cellStyle name="Comma [0]" xfId="30"/>
    <cellStyle name="Comma" xfId="31"/>
    <cellStyle name="Currency [0]" xfId="32"/>
    <cellStyle name="Currency" xfId="33"/>
    <cellStyle name="Followed Hyperlink" xfId="34"/>
    <cellStyle name="콤마 [0]_12월전화" xfId="35"/>
    <cellStyle name="콤마_12월전화" xfId="36"/>
    <cellStyle name="표준_Stiff" xfId="37"/>
    <cellStyle name="표준_상-보청천교-stb" xfId="38"/>
    <cellStyle name="표준_지점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0</xdr:rowOff>
    </xdr:from>
    <xdr:to>
      <xdr:col>7</xdr:col>
      <xdr:colOff>47625</xdr:colOff>
      <xdr:row>20</xdr:row>
      <xdr:rowOff>114300</xdr:rowOff>
    </xdr:to>
    <xdr:grpSp>
      <xdr:nvGrpSpPr>
        <xdr:cNvPr id="1" name="Group 363"/>
        <xdr:cNvGrpSpPr>
          <a:grpSpLocks/>
        </xdr:cNvGrpSpPr>
      </xdr:nvGrpSpPr>
      <xdr:grpSpPr>
        <a:xfrm>
          <a:off x="495300" y="5972175"/>
          <a:ext cx="1285875" cy="428625"/>
          <a:chOff x="499" y="2508"/>
          <a:chExt cx="140" cy="45"/>
        </a:xfrm>
        <a:solidFill>
          <a:srgbClr val="FFFFFF"/>
        </a:solidFill>
      </xdr:grpSpPr>
      <xdr:sp>
        <xdr:nvSpPr>
          <xdr:cNvPr id="2" name="AutoShape 350"/>
          <xdr:cNvSpPr>
            <a:spLocks/>
          </xdr:cNvSpPr>
        </xdr:nvSpPr>
        <xdr:spPr>
          <a:xfrm>
            <a:off x="499" y="2520"/>
            <a:ext cx="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I</a:t>
            </a:r>
          </a:p>
        </xdr:txBody>
      </xdr:sp>
      <xdr:sp>
        <xdr:nvSpPr>
          <xdr:cNvPr id="3" name="AutoShape 351"/>
          <xdr:cNvSpPr>
            <a:spLocks/>
          </xdr:cNvSpPr>
        </xdr:nvSpPr>
        <xdr:spPr>
          <a:xfrm>
            <a:off x="566" y="2510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bt</a:t>
            </a:r>
          </a:p>
        </xdr:txBody>
      </xdr:sp>
      <xdr:sp>
        <xdr:nvSpPr>
          <xdr:cNvPr id="4" name="AutoShape 352"/>
          <xdr:cNvSpPr>
            <a:spLocks/>
          </xdr:cNvSpPr>
        </xdr:nvSpPr>
        <xdr:spPr>
          <a:xfrm>
            <a:off x="512" y="2531"/>
            <a:ext cx="1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1" u="none" baseline="0">
                <a:solidFill>
                  <a:srgbClr val="000000"/>
                </a:solidFill>
              </a:rPr>
              <a:t>req</a:t>
            </a:r>
          </a:p>
        </xdr:txBody>
      </xdr:sp>
      <xdr:sp>
        <xdr:nvSpPr>
          <xdr:cNvPr id="5" name="AutoShape 353"/>
          <xdr:cNvSpPr>
            <a:spLocks/>
          </xdr:cNvSpPr>
        </xdr:nvSpPr>
        <xdr:spPr>
          <a:xfrm>
            <a:off x="505" y="2529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v</a:t>
            </a:r>
          </a:p>
        </xdr:txBody>
      </xdr:sp>
      <xdr:sp>
        <xdr:nvSpPr>
          <xdr:cNvPr id="6" name="AutoShape 354"/>
          <xdr:cNvSpPr>
            <a:spLocks/>
          </xdr:cNvSpPr>
        </xdr:nvSpPr>
        <xdr:spPr>
          <a:xfrm>
            <a:off x="581" y="2508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7" name="AutoShape 355"/>
          <xdr:cNvSpPr>
            <a:spLocks/>
          </xdr:cNvSpPr>
        </xdr:nvSpPr>
        <xdr:spPr>
          <a:xfrm>
            <a:off x="607" y="2530"/>
            <a:ext cx="2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v req</a:t>
            </a:r>
          </a:p>
        </xdr:txBody>
      </xdr:sp>
      <xdr:sp>
        <xdr:nvSpPr>
          <xdr:cNvPr id="8" name="AutoShape 356"/>
          <xdr:cNvSpPr>
            <a:spLocks/>
          </xdr:cNvSpPr>
        </xdr:nvSpPr>
        <xdr:spPr>
          <a:xfrm>
            <a:off x="562" y="2532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9" name="AutoShape 357"/>
          <xdr:cNvSpPr>
            <a:spLocks/>
          </xdr:cNvSpPr>
        </xdr:nvSpPr>
        <xdr:spPr>
          <a:xfrm>
            <a:off x="509" y="2529"/>
            <a:ext cx="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(</a:t>
            </a:r>
          </a:p>
        </xdr:txBody>
      </xdr:sp>
      <xdr:sp>
        <xdr:nvSpPr>
          <xdr:cNvPr id="10" name="AutoShape 358"/>
          <xdr:cNvSpPr>
            <a:spLocks/>
          </xdr:cNvSpPr>
        </xdr:nvSpPr>
        <xdr:spPr>
          <a:xfrm>
            <a:off x="526" y="2529"/>
            <a:ext cx="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11" name="AutoShape 359"/>
          <xdr:cNvSpPr>
            <a:spLocks/>
          </xdr:cNvSpPr>
        </xdr:nvSpPr>
        <xdr:spPr>
          <a:xfrm>
            <a:off x="535" y="2520"/>
            <a:ext cx="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</a:t>
            </a:r>
          </a:p>
        </xdr:txBody>
      </xdr:sp>
      <xdr:sp>
        <xdr:nvSpPr>
          <xdr:cNvPr id="12" name="AutoShape 360"/>
          <xdr:cNvSpPr>
            <a:spLocks/>
          </xdr:cNvSpPr>
        </xdr:nvSpPr>
        <xdr:spPr>
          <a:xfrm>
            <a:off x="632" y="2518"/>
            <a:ext cx="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</a:t>
            </a:r>
          </a:p>
        </xdr:txBody>
      </xdr:sp>
      <xdr:sp>
        <xdr:nvSpPr>
          <xdr:cNvPr id="13" name="AutoShape 361"/>
          <xdr:cNvSpPr>
            <a:spLocks/>
          </xdr:cNvSpPr>
        </xdr:nvSpPr>
        <xdr:spPr>
          <a:xfrm>
            <a:off x="596" y="2519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</a:t>
            </a:r>
          </a:p>
        </xdr:txBody>
      </xdr:sp>
      <xdr:sp>
        <xdr:nvSpPr>
          <xdr:cNvPr id="14" name="Line 362"/>
          <xdr:cNvSpPr>
            <a:spLocks/>
          </xdr:cNvSpPr>
        </xdr:nvSpPr>
        <xdr:spPr>
          <a:xfrm>
            <a:off x="557" y="253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45</xdr:row>
      <xdr:rowOff>0</xdr:rowOff>
    </xdr:from>
    <xdr:to>
      <xdr:col>7</xdr:col>
      <xdr:colOff>47625</xdr:colOff>
      <xdr:row>46</xdr:row>
      <xdr:rowOff>114300</xdr:rowOff>
    </xdr:to>
    <xdr:grpSp>
      <xdr:nvGrpSpPr>
        <xdr:cNvPr id="15" name="Group 475"/>
        <xdr:cNvGrpSpPr>
          <a:grpSpLocks/>
        </xdr:cNvGrpSpPr>
      </xdr:nvGrpSpPr>
      <xdr:grpSpPr>
        <a:xfrm>
          <a:off x="495300" y="14144625"/>
          <a:ext cx="1285875" cy="428625"/>
          <a:chOff x="499" y="2508"/>
          <a:chExt cx="140" cy="45"/>
        </a:xfrm>
        <a:solidFill>
          <a:srgbClr val="FFFFFF"/>
        </a:solidFill>
      </xdr:grpSpPr>
      <xdr:sp>
        <xdr:nvSpPr>
          <xdr:cNvPr id="16" name="AutoShape 476"/>
          <xdr:cNvSpPr>
            <a:spLocks/>
          </xdr:cNvSpPr>
        </xdr:nvSpPr>
        <xdr:spPr>
          <a:xfrm>
            <a:off x="499" y="2520"/>
            <a:ext cx="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I</a:t>
            </a:r>
          </a:p>
        </xdr:txBody>
      </xdr:sp>
      <xdr:sp>
        <xdr:nvSpPr>
          <xdr:cNvPr id="17" name="AutoShape 477"/>
          <xdr:cNvSpPr>
            <a:spLocks/>
          </xdr:cNvSpPr>
        </xdr:nvSpPr>
        <xdr:spPr>
          <a:xfrm>
            <a:off x="566" y="2510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bt</a:t>
            </a:r>
          </a:p>
        </xdr:txBody>
      </xdr:sp>
      <xdr:sp>
        <xdr:nvSpPr>
          <xdr:cNvPr id="18" name="AutoShape 478"/>
          <xdr:cNvSpPr>
            <a:spLocks/>
          </xdr:cNvSpPr>
        </xdr:nvSpPr>
        <xdr:spPr>
          <a:xfrm>
            <a:off x="512" y="2531"/>
            <a:ext cx="1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1" u="none" baseline="0">
                <a:solidFill>
                  <a:srgbClr val="000000"/>
                </a:solidFill>
              </a:rPr>
              <a:t>req</a:t>
            </a:r>
          </a:p>
        </xdr:txBody>
      </xdr:sp>
      <xdr:sp>
        <xdr:nvSpPr>
          <xdr:cNvPr id="19" name="AutoShape 479"/>
          <xdr:cNvSpPr>
            <a:spLocks/>
          </xdr:cNvSpPr>
        </xdr:nvSpPr>
        <xdr:spPr>
          <a:xfrm>
            <a:off x="505" y="2529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v</a:t>
            </a:r>
          </a:p>
        </xdr:txBody>
      </xdr:sp>
      <xdr:sp>
        <xdr:nvSpPr>
          <xdr:cNvPr id="20" name="AutoShape 480"/>
          <xdr:cNvSpPr>
            <a:spLocks/>
          </xdr:cNvSpPr>
        </xdr:nvSpPr>
        <xdr:spPr>
          <a:xfrm>
            <a:off x="581" y="2508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21" name="AutoShape 481"/>
          <xdr:cNvSpPr>
            <a:spLocks/>
          </xdr:cNvSpPr>
        </xdr:nvSpPr>
        <xdr:spPr>
          <a:xfrm>
            <a:off x="607" y="2530"/>
            <a:ext cx="2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v req</a:t>
            </a:r>
          </a:p>
        </xdr:txBody>
      </xdr:sp>
      <xdr:sp>
        <xdr:nvSpPr>
          <xdr:cNvPr id="22" name="AutoShape 482"/>
          <xdr:cNvSpPr>
            <a:spLocks/>
          </xdr:cNvSpPr>
        </xdr:nvSpPr>
        <xdr:spPr>
          <a:xfrm>
            <a:off x="562" y="2532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23" name="AutoShape 483"/>
          <xdr:cNvSpPr>
            <a:spLocks/>
          </xdr:cNvSpPr>
        </xdr:nvSpPr>
        <xdr:spPr>
          <a:xfrm>
            <a:off x="509" y="2529"/>
            <a:ext cx="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(</a:t>
            </a:r>
          </a:p>
        </xdr:txBody>
      </xdr:sp>
      <xdr:sp>
        <xdr:nvSpPr>
          <xdr:cNvPr id="24" name="AutoShape 484"/>
          <xdr:cNvSpPr>
            <a:spLocks/>
          </xdr:cNvSpPr>
        </xdr:nvSpPr>
        <xdr:spPr>
          <a:xfrm>
            <a:off x="526" y="2529"/>
            <a:ext cx="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25" name="AutoShape 485"/>
          <xdr:cNvSpPr>
            <a:spLocks/>
          </xdr:cNvSpPr>
        </xdr:nvSpPr>
        <xdr:spPr>
          <a:xfrm>
            <a:off x="535" y="2520"/>
            <a:ext cx="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</a:t>
            </a:r>
          </a:p>
        </xdr:txBody>
      </xdr:sp>
      <xdr:sp>
        <xdr:nvSpPr>
          <xdr:cNvPr id="26" name="AutoShape 486"/>
          <xdr:cNvSpPr>
            <a:spLocks/>
          </xdr:cNvSpPr>
        </xdr:nvSpPr>
        <xdr:spPr>
          <a:xfrm>
            <a:off x="632" y="2518"/>
            <a:ext cx="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</a:t>
            </a:r>
          </a:p>
        </xdr:txBody>
      </xdr:sp>
      <xdr:sp>
        <xdr:nvSpPr>
          <xdr:cNvPr id="27" name="AutoShape 487"/>
          <xdr:cNvSpPr>
            <a:spLocks/>
          </xdr:cNvSpPr>
        </xdr:nvSpPr>
        <xdr:spPr>
          <a:xfrm>
            <a:off x="596" y="2519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</a:t>
            </a:r>
          </a:p>
        </xdr:txBody>
      </xdr:sp>
      <xdr:sp>
        <xdr:nvSpPr>
          <xdr:cNvPr id="28" name="Line 488"/>
          <xdr:cNvSpPr>
            <a:spLocks/>
          </xdr:cNvSpPr>
        </xdr:nvSpPr>
        <xdr:spPr>
          <a:xfrm>
            <a:off x="557" y="253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7</xdr:col>
      <xdr:colOff>47625</xdr:colOff>
      <xdr:row>19</xdr:row>
      <xdr:rowOff>114300</xdr:rowOff>
    </xdr:to>
    <xdr:grpSp>
      <xdr:nvGrpSpPr>
        <xdr:cNvPr id="1" name="Group 114"/>
        <xdr:cNvGrpSpPr>
          <a:grpSpLocks/>
        </xdr:cNvGrpSpPr>
      </xdr:nvGrpSpPr>
      <xdr:grpSpPr>
        <a:xfrm>
          <a:off x="495300" y="5657850"/>
          <a:ext cx="1285875" cy="428625"/>
          <a:chOff x="499" y="2508"/>
          <a:chExt cx="140" cy="45"/>
        </a:xfrm>
        <a:solidFill>
          <a:srgbClr val="FFFFFF"/>
        </a:solidFill>
      </xdr:grpSpPr>
      <xdr:sp>
        <xdr:nvSpPr>
          <xdr:cNvPr id="2" name="AutoShape 115"/>
          <xdr:cNvSpPr>
            <a:spLocks/>
          </xdr:cNvSpPr>
        </xdr:nvSpPr>
        <xdr:spPr>
          <a:xfrm>
            <a:off x="499" y="2520"/>
            <a:ext cx="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I</a:t>
            </a:r>
          </a:p>
        </xdr:txBody>
      </xdr:sp>
      <xdr:sp>
        <xdr:nvSpPr>
          <xdr:cNvPr id="3" name="AutoShape 116"/>
          <xdr:cNvSpPr>
            <a:spLocks/>
          </xdr:cNvSpPr>
        </xdr:nvSpPr>
        <xdr:spPr>
          <a:xfrm>
            <a:off x="566" y="2510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bt</a:t>
            </a:r>
          </a:p>
        </xdr:txBody>
      </xdr:sp>
      <xdr:sp>
        <xdr:nvSpPr>
          <xdr:cNvPr id="4" name="AutoShape 117"/>
          <xdr:cNvSpPr>
            <a:spLocks/>
          </xdr:cNvSpPr>
        </xdr:nvSpPr>
        <xdr:spPr>
          <a:xfrm>
            <a:off x="512" y="2531"/>
            <a:ext cx="1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1" u="none" baseline="0">
                <a:solidFill>
                  <a:srgbClr val="000000"/>
                </a:solidFill>
              </a:rPr>
              <a:t>req</a:t>
            </a:r>
          </a:p>
        </xdr:txBody>
      </xdr:sp>
      <xdr:sp>
        <xdr:nvSpPr>
          <xdr:cNvPr id="5" name="AutoShape 118"/>
          <xdr:cNvSpPr>
            <a:spLocks/>
          </xdr:cNvSpPr>
        </xdr:nvSpPr>
        <xdr:spPr>
          <a:xfrm>
            <a:off x="505" y="2529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v</a:t>
            </a:r>
          </a:p>
        </xdr:txBody>
      </xdr:sp>
      <xdr:sp>
        <xdr:nvSpPr>
          <xdr:cNvPr id="6" name="AutoShape 119"/>
          <xdr:cNvSpPr>
            <a:spLocks/>
          </xdr:cNvSpPr>
        </xdr:nvSpPr>
        <xdr:spPr>
          <a:xfrm>
            <a:off x="581" y="2508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7" name="AutoShape 120"/>
          <xdr:cNvSpPr>
            <a:spLocks/>
          </xdr:cNvSpPr>
        </xdr:nvSpPr>
        <xdr:spPr>
          <a:xfrm>
            <a:off x="607" y="2530"/>
            <a:ext cx="2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v req</a:t>
            </a:r>
          </a:p>
        </xdr:txBody>
      </xdr:sp>
      <xdr:sp>
        <xdr:nvSpPr>
          <xdr:cNvPr id="8" name="AutoShape 121"/>
          <xdr:cNvSpPr>
            <a:spLocks/>
          </xdr:cNvSpPr>
        </xdr:nvSpPr>
        <xdr:spPr>
          <a:xfrm>
            <a:off x="562" y="2532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9" name="AutoShape 122"/>
          <xdr:cNvSpPr>
            <a:spLocks/>
          </xdr:cNvSpPr>
        </xdr:nvSpPr>
        <xdr:spPr>
          <a:xfrm>
            <a:off x="509" y="2529"/>
            <a:ext cx="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(</a:t>
            </a:r>
          </a:p>
        </xdr:txBody>
      </xdr:sp>
      <xdr:sp>
        <xdr:nvSpPr>
          <xdr:cNvPr id="10" name="AutoShape 123"/>
          <xdr:cNvSpPr>
            <a:spLocks/>
          </xdr:cNvSpPr>
        </xdr:nvSpPr>
        <xdr:spPr>
          <a:xfrm>
            <a:off x="526" y="2529"/>
            <a:ext cx="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11" name="AutoShape 124"/>
          <xdr:cNvSpPr>
            <a:spLocks/>
          </xdr:cNvSpPr>
        </xdr:nvSpPr>
        <xdr:spPr>
          <a:xfrm>
            <a:off x="535" y="2520"/>
            <a:ext cx="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</a:t>
            </a:r>
          </a:p>
        </xdr:txBody>
      </xdr:sp>
      <xdr:sp>
        <xdr:nvSpPr>
          <xdr:cNvPr id="12" name="AutoShape 125"/>
          <xdr:cNvSpPr>
            <a:spLocks/>
          </xdr:cNvSpPr>
        </xdr:nvSpPr>
        <xdr:spPr>
          <a:xfrm>
            <a:off x="632" y="2518"/>
            <a:ext cx="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</a:t>
            </a:r>
          </a:p>
        </xdr:txBody>
      </xdr:sp>
      <xdr:sp>
        <xdr:nvSpPr>
          <xdr:cNvPr id="13" name="AutoShape 126"/>
          <xdr:cNvSpPr>
            <a:spLocks/>
          </xdr:cNvSpPr>
        </xdr:nvSpPr>
        <xdr:spPr>
          <a:xfrm>
            <a:off x="596" y="2519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</a:t>
            </a:r>
          </a:p>
        </xdr:txBody>
      </xdr:sp>
      <xdr:sp>
        <xdr:nvSpPr>
          <xdr:cNvPr id="14" name="Line 127"/>
          <xdr:cNvSpPr>
            <a:spLocks/>
          </xdr:cNvSpPr>
        </xdr:nvSpPr>
        <xdr:spPr>
          <a:xfrm>
            <a:off x="557" y="253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4</xdr:col>
      <xdr:colOff>114300</xdr:colOff>
      <xdr:row>51</xdr:row>
      <xdr:rowOff>123825</xdr:rowOff>
    </xdr:from>
    <xdr:to>
      <xdr:col>16</xdr:col>
      <xdr:colOff>38100</xdr:colOff>
      <xdr:row>52</xdr:row>
      <xdr:rowOff>190500</xdr:rowOff>
    </xdr:to>
    <xdr:sp>
      <xdr:nvSpPr>
        <xdr:cNvPr id="15" name="AutoShape 153"/>
        <xdr:cNvSpPr>
          <a:spLocks/>
        </xdr:cNvSpPr>
      </xdr:nvSpPr>
      <xdr:spPr>
        <a:xfrm>
          <a:off x="1104900" y="16154400"/>
          <a:ext cx="2895600" cy="3810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161925</xdr:colOff>
      <xdr:row>51</xdr:row>
      <xdr:rowOff>180975</xdr:rowOff>
    </xdr:from>
    <xdr:to>
      <xdr:col>11</xdr:col>
      <xdr:colOff>85725</xdr:colOff>
      <xdr:row>52</xdr:row>
      <xdr:rowOff>142875</xdr:rowOff>
    </xdr:to>
    <xdr:sp>
      <xdr:nvSpPr>
        <xdr:cNvPr id="16" name="AutoShape 155"/>
        <xdr:cNvSpPr>
          <a:spLocks/>
        </xdr:cNvSpPr>
      </xdr:nvSpPr>
      <xdr:spPr>
        <a:xfrm>
          <a:off x="2143125" y="16211550"/>
          <a:ext cx="6667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200025</xdr:colOff>
      <xdr:row>53</xdr:row>
      <xdr:rowOff>171450</xdr:rowOff>
    </xdr:from>
    <xdr:to>
      <xdr:col>19</xdr:col>
      <xdr:colOff>57150</xdr:colOff>
      <xdr:row>54</xdr:row>
      <xdr:rowOff>133350</xdr:rowOff>
    </xdr:to>
    <xdr:sp>
      <xdr:nvSpPr>
        <xdr:cNvPr id="17" name="AutoShape 156"/>
        <xdr:cNvSpPr>
          <a:spLocks/>
        </xdr:cNvSpPr>
      </xdr:nvSpPr>
      <xdr:spPr>
        <a:xfrm>
          <a:off x="4162425" y="16830675"/>
          <a:ext cx="60007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28575</xdr:colOff>
      <xdr:row>51</xdr:row>
      <xdr:rowOff>76200</xdr:rowOff>
    </xdr:from>
    <xdr:to>
      <xdr:col>15</xdr:col>
      <xdr:colOff>142875</xdr:colOff>
      <xdr:row>52</xdr:row>
      <xdr:rowOff>190500</xdr:rowOff>
    </xdr:to>
    <xdr:grpSp>
      <xdr:nvGrpSpPr>
        <xdr:cNvPr id="18" name="Group 167"/>
        <xdr:cNvGrpSpPr>
          <a:grpSpLocks/>
        </xdr:cNvGrpSpPr>
      </xdr:nvGrpSpPr>
      <xdr:grpSpPr>
        <a:xfrm>
          <a:off x="2009775" y="16106775"/>
          <a:ext cx="1847850" cy="428625"/>
          <a:chOff x="212" y="3340"/>
          <a:chExt cx="194" cy="45"/>
        </a:xfrm>
        <a:solidFill>
          <a:srgbClr val="FFFFFF"/>
        </a:solidFill>
      </xdr:grpSpPr>
      <xdr:sp>
        <xdr:nvSpPr>
          <xdr:cNvPr id="19" name="Line 163"/>
          <xdr:cNvSpPr>
            <a:spLocks/>
          </xdr:cNvSpPr>
        </xdr:nvSpPr>
        <xdr:spPr>
          <a:xfrm>
            <a:off x="221" y="3341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" name="Line 164"/>
          <xdr:cNvSpPr>
            <a:spLocks/>
          </xdr:cNvSpPr>
        </xdr:nvSpPr>
        <xdr:spPr>
          <a:xfrm flipH="1">
            <a:off x="217" y="3340"/>
            <a:ext cx="4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Line 165"/>
          <xdr:cNvSpPr>
            <a:spLocks/>
          </xdr:cNvSpPr>
        </xdr:nvSpPr>
        <xdr:spPr>
          <a:xfrm flipH="1" flipV="1">
            <a:off x="215" y="3371"/>
            <a:ext cx="2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2" name="Line 166"/>
          <xdr:cNvSpPr>
            <a:spLocks/>
          </xdr:cNvSpPr>
        </xdr:nvSpPr>
        <xdr:spPr>
          <a:xfrm flipH="1">
            <a:off x="212" y="3371"/>
            <a:ext cx="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11</xdr:col>
      <xdr:colOff>180975</xdr:colOff>
      <xdr:row>53</xdr:row>
      <xdr:rowOff>171450</xdr:rowOff>
    </xdr:from>
    <xdr:to>
      <xdr:col>15</xdr:col>
      <xdr:colOff>66675</xdr:colOff>
      <xdr:row>54</xdr:row>
      <xdr:rowOff>133350</xdr:rowOff>
    </xdr:to>
    <xdr:sp>
      <xdr:nvSpPr>
        <xdr:cNvPr id="23" name="AutoShape 168"/>
        <xdr:cNvSpPr>
          <a:spLocks/>
        </xdr:cNvSpPr>
      </xdr:nvSpPr>
      <xdr:spPr>
        <a:xfrm>
          <a:off x="2905125" y="16830675"/>
          <a:ext cx="8763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133350</xdr:colOff>
      <xdr:row>51</xdr:row>
      <xdr:rowOff>190500</xdr:rowOff>
    </xdr:from>
    <xdr:to>
      <xdr:col>15</xdr:col>
      <xdr:colOff>76200</xdr:colOff>
      <xdr:row>52</xdr:row>
      <xdr:rowOff>180975</xdr:rowOff>
    </xdr:to>
    <xdr:sp>
      <xdr:nvSpPr>
        <xdr:cNvPr id="24" name="AutoShape 170"/>
        <xdr:cNvSpPr>
          <a:spLocks/>
        </xdr:cNvSpPr>
      </xdr:nvSpPr>
      <xdr:spPr>
        <a:xfrm>
          <a:off x="3352800" y="16221075"/>
          <a:ext cx="438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133350</xdr:colOff>
      <xdr:row>53</xdr:row>
      <xdr:rowOff>123825</xdr:rowOff>
    </xdr:from>
    <xdr:to>
      <xdr:col>20</xdr:col>
      <xdr:colOff>28575</xdr:colOff>
      <xdr:row>54</xdr:row>
      <xdr:rowOff>190500</xdr:rowOff>
    </xdr:to>
    <xdr:sp>
      <xdr:nvSpPr>
        <xdr:cNvPr id="25" name="AutoShape 171"/>
        <xdr:cNvSpPr>
          <a:spLocks/>
        </xdr:cNvSpPr>
      </xdr:nvSpPr>
      <xdr:spPr>
        <a:xfrm>
          <a:off x="1619250" y="16783050"/>
          <a:ext cx="3362325" cy="3810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66675</xdr:colOff>
      <xdr:row>53</xdr:row>
      <xdr:rowOff>57150</xdr:rowOff>
    </xdr:from>
    <xdr:to>
      <xdr:col>19</xdr:col>
      <xdr:colOff>171450</xdr:colOff>
      <xdr:row>54</xdr:row>
      <xdr:rowOff>180975</xdr:rowOff>
    </xdr:to>
    <xdr:grpSp>
      <xdr:nvGrpSpPr>
        <xdr:cNvPr id="26" name="Group 185"/>
        <xdr:cNvGrpSpPr>
          <a:grpSpLocks/>
        </xdr:cNvGrpSpPr>
      </xdr:nvGrpSpPr>
      <xdr:grpSpPr>
        <a:xfrm>
          <a:off x="2790825" y="16716375"/>
          <a:ext cx="2085975" cy="438150"/>
          <a:chOff x="291" y="3404"/>
          <a:chExt cx="219" cy="45"/>
        </a:xfrm>
        <a:solidFill>
          <a:srgbClr val="FFFFFF"/>
        </a:solidFill>
      </xdr:grpSpPr>
      <xdr:sp>
        <xdr:nvSpPr>
          <xdr:cNvPr id="27" name="Line 181"/>
          <xdr:cNvSpPr>
            <a:spLocks/>
          </xdr:cNvSpPr>
        </xdr:nvSpPr>
        <xdr:spPr>
          <a:xfrm flipH="1">
            <a:off x="296" y="3404"/>
            <a:ext cx="4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8" name="Line 182"/>
          <xdr:cNvSpPr>
            <a:spLocks/>
          </xdr:cNvSpPr>
        </xdr:nvSpPr>
        <xdr:spPr>
          <a:xfrm flipH="1" flipV="1">
            <a:off x="294" y="3435"/>
            <a:ext cx="2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9" name="Line 183"/>
          <xdr:cNvSpPr>
            <a:spLocks/>
          </xdr:cNvSpPr>
        </xdr:nvSpPr>
        <xdr:spPr>
          <a:xfrm flipH="1">
            <a:off x="291" y="3435"/>
            <a:ext cx="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0" name="Line 184"/>
          <xdr:cNvSpPr>
            <a:spLocks/>
          </xdr:cNvSpPr>
        </xdr:nvSpPr>
        <xdr:spPr>
          <a:xfrm>
            <a:off x="300" y="3404"/>
            <a:ext cx="2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219075</xdr:colOff>
      <xdr:row>31</xdr:row>
      <xdr:rowOff>47625</xdr:rowOff>
    </xdr:from>
    <xdr:to>
      <xdr:col>22</xdr:col>
      <xdr:colOff>238125</xdr:colOff>
      <xdr:row>43</xdr:row>
      <xdr:rowOff>76200</xdr:rowOff>
    </xdr:to>
    <xdr:pic>
      <xdr:nvPicPr>
        <xdr:cNvPr id="31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9791700"/>
          <a:ext cx="472440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14</xdr:col>
      <xdr:colOff>28575</xdr:colOff>
      <xdr:row>8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552450"/>
          <a:ext cx="20097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14</xdr:col>
      <xdr:colOff>28575</xdr:colOff>
      <xdr:row>7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276225"/>
          <a:ext cx="20097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S55"/>
  <sheetViews>
    <sheetView showGridLines="0" tabSelected="1" zoomScaleSheetLayoutView="100" workbookViewId="0" topLeftCell="A21">
      <selection activeCell="V5" sqref="V5"/>
    </sheetView>
  </sheetViews>
  <sheetFormatPr defaultColWidth="8.88671875" defaultRowHeight="24.75" customHeight="1"/>
  <cols>
    <col min="1" max="27" width="2.88671875" style="4" customWidth="1"/>
    <col min="28" max="28" width="2.88671875" style="6" customWidth="1"/>
    <col min="29" max="70" width="1.77734375" style="6" customWidth="1"/>
    <col min="71" max="16384" width="2.88671875" style="6" customWidth="1"/>
  </cols>
  <sheetData>
    <row r="1" spans="1:27" s="2" customFormat="1" ht="24.75" customHeight="1">
      <c r="A1" s="57" t="s">
        <v>235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" customFormat="1" ht="24.75" customHeight="1">
      <c r="A2" s="58" t="s">
        <v>101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s="2" customFormat="1" ht="24.75" customHeight="1">
      <c r="A3" s="4" t="s">
        <v>153</v>
      </c>
      <c r="C3" s="1"/>
      <c r="D3" s="1"/>
      <c r="E3" s="105" t="s">
        <v>155</v>
      </c>
      <c r="F3" s="1"/>
      <c r="G3" s="1"/>
      <c r="H3" s="1"/>
      <c r="I3" s="1"/>
      <c r="J3" s="1"/>
      <c r="K3" s="1"/>
      <c r="L3" s="1"/>
      <c r="M3" s="1"/>
      <c r="N3" s="1"/>
      <c r="O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C3" s="1"/>
    </row>
    <row r="4" spans="1:71" ht="24.75" customHeight="1">
      <c r="A4" s="18" t="s">
        <v>149</v>
      </c>
      <c r="H4" s="5" t="s">
        <v>105</v>
      </c>
      <c r="I4" s="106" t="s">
        <v>110</v>
      </c>
      <c r="J4" s="106"/>
      <c r="K4" s="106"/>
      <c r="L4" s="106"/>
      <c r="M4" s="3" t="s">
        <v>107</v>
      </c>
      <c r="N4" s="5"/>
      <c r="AC4" s="60" t="s">
        <v>150</v>
      </c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7"/>
      <c r="BQ4" s="17"/>
      <c r="BR4" s="17"/>
      <c r="BS4" s="17"/>
    </row>
    <row r="5" spans="2:70" ht="24.75" customHeight="1">
      <c r="B5" s="4" t="s">
        <v>108</v>
      </c>
      <c r="H5" s="4" t="s">
        <v>7</v>
      </c>
      <c r="I5" s="4" t="s">
        <v>10</v>
      </c>
      <c r="J5" s="108">
        <v>0</v>
      </c>
      <c r="P5" s="6"/>
      <c r="Q5" s="6"/>
      <c r="S5" s="6"/>
      <c r="T5" s="6"/>
      <c r="U5" s="6"/>
      <c r="V5" s="6"/>
      <c r="W5" s="6"/>
      <c r="X5" s="6"/>
      <c r="Y5" s="6"/>
      <c r="Z5" s="6"/>
      <c r="AC5" s="63">
        <f>IF(J12&lt;=40,2,IF(J12&lt;=75,3,4))</f>
        <v>2</v>
      </c>
      <c r="AD5" s="64"/>
      <c r="AE5" s="65"/>
      <c r="AF5" s="66" t="s">
        <v>109</v>
      </c>
      <c r="AG5" s="67"/>
      <c r="AH5" s="68"/>
      <c r="AI5" s="66" t="s">
        <v>110</v>
      </c>
      <c r="AJ5" s="67"/>
      <c r="AK5" s="68"/>
      <c r="AL5" s="66" t="s">
        <v>111</v>
      </c>
      <c r="AM5" s="67"/>
      <c r="AN5" s="68"/>
      <c r="AO5" s="66" t="s">
        <v>112</v>
      </c>
      <c r="AP5" s="67"/>
      <c r="AQ5" s="68"/>
      <c r="AR5" s="66" t="s">
        <v>23</v>
      </c>
      <c r="AS5" s="67"/>
      <c r="AT5" s="68"/>
      <c r="AU5" s="109" t="s">
        <v>113</v>
      </c>
      <c r="AV5" s="110"/>
      <c r="AW5" s="111"/>
      <c r="AX5" s="66" t="s">
        <v>106</v>
      </c>
      <c r="AY5" s="67"/>
      <c r="AZ5" s="68"/>
      <c r="BA5" s="66" t="s">
        <v>114</v>
      </c>
      <c r="BB5" s="67"/>
      <c r="BC5" s="68"/>
      <c r="BD5" s="66" t="s">
        <v>115</v>
      </c>
      <c r="BE5" s="67"/>
      <c r="BF5" s="68"/>
      <c r="BG5" s="109" t="s">
        <v>116</v>
      </c>
      <c r="BH5" s="110"/>
      <c r="BI5" s="111"/>
      <c r="BJ5" s="66" t="s">
        <v>117</v>
      </c>
      <c r="BK5" s="67"/>
      <c r="BL5" s="68"/>
      <c r="BM5" s="66" t="s">
        <v>118</v>
      </c>
      <c r="BN5" s="67"/>
      <c r="BO5" s="68"/>
      <c r="BP5" s="109" t="s">
        <v>119</v>
      </c>
      <c r="BQ5" s="110"/>
      <c r="BR5" s="111"/>
    </row>
    <row r="6" spans="2:70" ht="24.75" customHeight="1">
      <c r="B6" s="4" t="s">
        <v>120</v>
      </c>
      <c r="H6" s="4" t="s">
        <v>7</v>
      </c>
      <c r="I6" s="4" t="s">
        <v>121</v>
      </c>
      <c r="K6" s="112">
        <v>-158.355332058</v>
      </c>
      <c r="L6" s="112"/>
      <c r="M6" s="112"/>
      <c r="N6" s="4" t="s">
        <v>122</v>
      </c>
      <c r="P6" s="6"/>
      <c r="Q6" s="6"/>
      <c r="S6" s="6"/>
      <c r="T6" s="6"/>
      <c r="U6" s="6"/>
      <c r="V6" s="6"/>
      <c r="W6" s="6"/>
      <c r="X6" s="6"/>
      <c r="Y6" s="6"/>
      <c r="Z6" s="6"/>
      <c r="AC6" s="113">
        <v>40</v>
      </c>
      <c r="AD6" s="113"/>
      <c r="AE6" s="113"/>
      <c r="AF6" s="63">
        <v>140</v>
      </c>
      <c r="AG6" s="64"/>
      <c r="AH6" s="65"/>
      <c r="AI6" s="63">
        <f>AF6</f>
        <v>140</v>
      </c>
      <c r="AJ6" s="64"/>
      <c r="AK6" s="65"/>
      <c r="AL6" s="63">
        <f>AF6</f>
        <v>140</v>
      </c>
      <c r="AM6" s="64"/>
      <c r="AN6" s="65"/>
      <c r="AO6" s="63">
        <v>140</v>
      </c>
      <c r="AP6" s="64"/>
      <c r="AQ6" s="65"/>
      <c r="AR6" s="63">
        <v>185</v>
      </c>
      <c r="AS6" s="64"/>
      <c r="AT6" s="65"/>
      <c r="AU6" s="63">
        <f>AR6</f>
        <v>185</v>
      </c>
      <c r="AV6" s="64"/>
      <c r="AW6" s="65"/>
      <c r="AX6" s="63">
        <v>210</v>
      </c>
      <c r="AY6" s="64"/>
      <c r="AZ6" s="65"/>
      <c r="BA6" s="63">
        <f>AX6</f>
        <v>210</v>
      </c>
      <c r="BB6" s="64"/>
      <c r="BC6" s="65"/>
      <c r="BD6" s="63">
        <f>AX6</f>
        <v>210</v>
      </c>
      <c r="BE6" s="64"/>
      <c r="BF6" s="65"/>
      <c r="BG6" s="63">
        <v>210</v>
      </c>
      <c r="BH6" s="64"/>
      <c r="BI6" s="65"/>
      <c r="BJ6" s="63">
        <v>255</v>
      </c>
      <c r="BK6" s="64"/>
      <c r="BL6" s="65"/>
      <c r="BM6" s="63">
        <f>BJ6</f>
        <v>255</v>
      </c>
      <c r="BN6" s="64"/>
      <c r="BO6" s="65"/>
      <c r="BP6" s="63">
        <f>BM6</f>
        <v>255</v>
      </c>
      <c r="BQ6" s="64"/>
      <c r="BR6" s="65"/>
    </row>
    <row r="7" spans="2:70" ht="24.75" customHeight="1">
      <c r="B7" s="4" t="s">
        <v>123</v>
      </c>
      <c r="H7" s="4" t="s">
        <v>7</v>
      </c>
      <c r="I7" s="4" t="s">
        <v>24</v>
      </c>
      <c r="K7" s="112">
        <v>28.241946365</v>
      </c>
      <c r="L7" s="114"/>
      <c r="M7" s="114"/>
      <c r="N7" s="4" t="s">
        <v>122</v>
      </c>
      <c r="P7" s="6"/>
      <c r="Q7" s="6"/>
      <c r="S7" s="6"/>
      <c r="T7" s="6"/>
      <c r="U7" s="6"/>
      <c r="V7" s="6"/>
      <c r="W7" s="6"/>
      <c r="X7" s="6"/>
      <c r="Y7" s="6"/>
      <c r="Z7" s="6"/>
      <c r="AC7" s="115" t="s">
        <v>124</v>
      </c>
      <c r="AD7" s="115"/>
      <c r="AE7" s="115"/>
      <c r="AF7" s="63">
        <v>125</v>
      </c>
      <c r="AG7" s="64"/>
      <c r="AH7" s="65"/>
      <c r="AI7" s="63">
        <f>AF7</f>
        <v>125</v>
      </c>
      <c r="AJ7" s="64"/>
      <c r="AK7" s="65"/>
      <c r="AL7" s="63">
        <f>AF7</f>
        <v>125</v>
      </c>
      <c r="AM7" s="64"/>
      <c r="AN7" s="65"/>
      <c r="AO7" s="63">
        <v>140</v>
      </c>
      <c r="AP7" s="64"/>
      <c r="AQ7" s="65"/>
      <c r="AR7" s="63">
        <v>175</v>
      </c>
      <c r="AS7" s="64"/>
      <c r="AT7" s="65"/>
      <c r="AU7" s="63">
        <f>AU6</f>
        <v>185</v>
      </c>
      <c r="AV7" s="64"/>
      <c r="AW7" s="65"/>
      <c r="AX7" s="63">
        <v>195</v>
      </c>
      <c r="AY7" s="64"/>
      <c r="AZ7" s="65"/>
      <c r="BA7" s="63">
        <f>AX7</f>
        <v>195</v>
      </c>
      <c r="BB7" s="64"/>
      <c r="BC7" s="65"/>
      <c r="BD7" s="63">
        <f>AX7</f>
        <v>195</v>
      </c>
      <c r="BE7" s="64"/>
      <c r="BF7" s="65"/>
      <c r="BG7" s="63">
        <v>210</v>
      </c>
      <c r="BH7" s="64"/>
      <c r="BI7" s="65"/>
      <c r="BJ7" s="63">
        <v>245</v>
      </c>
      <c r="BK7" s="64"/>
      <c r="BL7" s="65"/>
      <c r="BM7" s="63">
        <f>BJ7</f>
        <v>245</v>
      </c>
      <c r="BN7" s="64"/>
      <c r="BO7" s="65"/>
      <c r="BP7" s="63">
        <f>BP6</f>
        <v>255</v>
      </c>
      <c r="BQ7" s="64"/>
      <c r="BR7" s="65"/>
    </row>
    <row r="8" spans="2:70" ht="24.75" customHeight="1">
      <c r="B8" s="4" t="s">
        <v>125</v>
      </c>
      <c r="H8" s="4" t="s">
        <v>7</v>
      </c>
      <c r="I8" s="4" t="s">
        <v>33</v>
      </c>
      <c r="K8" s="116">
        <v>180</v>
      </c>
      <c r="L8" s="117"/>
      <c r="M8" s="4" t="s">
        <v>22</v>
      </c>
      <c r="P8" s="6"/>
      <c r="Q8" s="6"/>
      <c r="S8" s="6"/>
      <c r="T8" s="6"/>
      <c r="U8" s="6"/>
      <c r="V8" s="6"/>
      <c r="W8" s="6"/>
      <c r="X8" s="6"/>
      <c r="Y8" s="6"/>
      <c r="Z8" s="6"/>
      <c r="AC8" s="115" t="s">
        <v>126</v>
      </c>
      <c r="AD8" s="115"/>
      <c r="AE8" s="115"/>
      <c r="AF8" s="63">
        <v>125</v>
      </c>
      <c r="AG8" s="64"/>
      <c r="AH8" s="65"/>
      <c r="AI8" s="63">
        <f>AF8</f>
        <v>125</v>
      </c>
      <c r="AJ8" s="64"/>
      <c r="AK8" s="65"/>
      <c r="AL8" s="63">
        <f>AF8</f>
        <v>125</v>
      </c>
      <c r="AM8" s="64"/>
      <c r="AN8" s="65"/>
      <c r="AO8" s="63">
        <v>140</v>
      </c>
      <c r="AP8" s="64"/>
      <c r="AQ8" s="65"/>
      <c r="AR8" s="63">
        <v>175</v>
      </c>
      <c r="AS8" s="64"/>
      <c r="AT8" s="65"/>
      <c r="AU8" s="63">
        <f>AU6</f>
        <v>185</v>
      </c>
      <c r="AV8" s="64"/>
      <c r="AW8" s="65"/>
      <c r="AX8" s="63">
        <v>190</v>
      </c>
      <c r="AY8" s="64"/>
      <c r="AZ8" s="65"/>
      <c r="BA8" s="63">
        <f>AX8</f>
        <v>190</v>
      </c>
      <c r="BB8" s="64"/>
      <c r="BC8" s="65"/>
      <c r="BD8" s="63">
        <f>AX8</f>
        <v>190</v>
      </c>
      <c r="BE8" s="64"/>
      <c r="BF8" s="65"/>
      <c r="BG8" s="63">
        <v>210</v>
      </c>
      <c r="BH8" s="64"/>
      <c r="BI8" s="65"/>
      <c r="BJ8" s="63">
        <v>240</v>
      </c>
      <c r="BK8" s="64"/>
      <c r="BL8" s="65"/>
      <c r="BM8" s="63">
        <f>BJ8</f>
        <v>240</v>
      </c>
      <c r="BN8" s="64"/>
      <c r="BO8" s="65"/>
      <c r="BP8" s="63">
        <f>BP6</f>
        <v>255</v>
      </c>
      <c r="BQ8" s="64"/>
      <c r="BR8" s="65"/>
    </row>
    <row r="9" spans="2:26" ht="24.75" customHeight="1">
      <c r="B9" s="4" t="s">
        <v>127</v>
      </c>
      <c r="H9" s="4" t="s">
        <v>7</v>
      </c>
      <c r="I9" s="4" t="s">
        <v>34</v>
      </c>
      <c r="K9" s="116">
        <v>14</v>
      </c>
      <c r="L9" s="117"/>
      <c r="M9" s="4" t="s">
        <v>22</v>
      </c>
      <c r="P9" s="6"/>
      <c r="Q9" s="6"/>
      <c r="S9" s="6"/>
      <c r="T9" s="6"/>
      <c r="U9" s="6"/>
      <c r="V9" s="6"/>
      <c r="W9" s="6"/>
      <c r="X9" s="6"/>
      <c r="Y9" s="6"/>
      <c r="Z9" s="6"/>
    </row>
    <row r="10" spans="2:12" ht="24.75" customHeight="1">
      <c r="B10" s="4" t="s">
        <v>128</v>
      </c>
      <c r="H10" s="4" t="s">
        <v>7</v>
      </c>
      <c r="I10" s="4" t="s">
        <v>11</v>
      </c>
      <c r="J10" s="118">
        <v>2500</v>
      </c>
      <c r="K10" s="119"/>
      <c r="L10" s="4" t="s">
        <v>22</v>
      </c>
    </row>
    <row r="11" spans="2:37" ht="24.75" customHeight="1">
      <c r="B11" s="4" t="s">
        <v>50</v>
      </c>
      <c r="H11" s="4" t="s">
        <v>7</v>
      </c>
      <c r="I11" s="4" t="s">
        <v>12</v>
      </c>
      <c r="J11" s="118">
        <v>2840</v>
      </c>
      <c r="K11" s="119"/>
      <c r="L11" s="4" t="s">
        <v>22</v>
      </c>
      <c r="U11" s="49" t="str">
        <f>IF(J5=3,"","[道示Ⅱ 10.4.2]")</f>
        <v>[道示Ⅱ 10.4.2]</v>
      </c>
      <c r="Y11" s="10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2:67" ht="24.75" customHeight="1">
      <c r="B12" s="23" t="s">
        <v>104</v>
      </c>
      <c r="G12" s="12"/>
      <c r="H12" s="4" t="s">
        <v>7</v>
      </c>
      <c r="I12" s="4" t="s">
        <v>9</v>
      </c>
      <c r="J12" s="118">
        <v>14</v>
      </c>
      <c r="K12" s="119"/>
      <c r="L12" s="4" t="s">
        <v>22</v>
      </c>
      <c r="M12" s="18" t="str">
        <f>IF(J5=3,"",IF(J12&gt;=W12," ≥","＜ "))</f>
        <v>＜ </v>
      </c>
      <c r="N12" s="4" t="str">
        <f>IF(J5=3,"","twmin = b /(")</f>
        <v>twmin = b /(</v>
      </c>
      <c r="Q12" s="4">
        <f>IF(J5=3,"",HLOOKUP(I4,AF13:BR16,AC13,FALSE))</f>
        <v>152</v>
      </c>
      <c r="R12" s="7" t="str">
        <f>IF(J5=3,"","×")</f>
        <v>×</v>
      </c>
      <c r="S12" s="13">
        <f>IF(J5=3,"",Y13)</f>
        <v>0.94</v>
      </c>
      <c r="T12" s="13"/>
      <c r="U12" s="4" t="str">
        <f>IF(J5=3,"",")")</f>
        <v>)</v>
      </c>
      <c r="V12" s="7" t="str">
        <f>IF(J5=3,"","=")</f>
        <v>=</v>
      </c>
      <c r="W12" s="25">
        <f>IF(J5=3,"",J11/(Q12*S12))</f>
        <v>19.876819708846586</v>
      </c>
      <c r="X12" s="25"/>
      <c r="Y12" s="4" t="str">
        <f>IF(J5=3,"","mm")</f>
        <v>mm</v>
      </c>
      <c r="Z12" s="4" t="str">
        <f>IF(J5=3,"",IF(J12&gt;=W12,"O.K.","N.G."))</f>
        <v>N.G.</v>
      </c>
      <c r="AC12" s="60" t="s">
        <v>53</v>
      </c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</row>
    <row r="13" spans="7:70" ht="24.75" customHeight="1">
      <c r="G13" s="12"/>
      <c r="I13" s="18" t="str">
        <f>IF(J5=3,"","ここに,")</f>
        <v>ここに,</v>
      </c>
      <c r="K13" s="4" t="str">
        <f>IF(J5=3,"","√(σca/σc) = √("&amp;HLOOKUP(I4,AF5:BR8,AC5,FALSE)&amp;"/"&amp;ABS(ROUND(K6,3))&amp;") =")</f>
        <v>√(σca/σc) = √(140/158.355) =</v>
      </c>
      <c r="P13" s="8"/>
      <c r="Q13" s="7"/>
      <c r="S13" s="13">
        <f>IF(J5=3,"",SQRT(HLOOKUP(I4,AF5:BR8,AC5,FALSE)/ABS(K6)))</f>
        <v>0.940259374735853</v>
      </c>
      <c r="T13" s="25"/>
      <c r="U13" s="4" t="str">
        <f>IF(J5=3,"",IF(S13&gt;1.2,"＞","＜"))</f>
        <v>＜</v>
      </c>
      <c r="V13" s="4">
        <f>IF(J5=3,"",1.2)</f>
        <v>1.2</v>
      </c>
      <c r="X13" s="4" t="str">
        <f>IF(J5=3,"","⇒")</f>
        <v>⇒</v>
      </c>
      <c r="Y13" s="10">
        <f>IF(J5=3,"",IF(S13&gt;1.2,1.2,ROUND(S13,3)))</f>
        <v>0.94</v>
      </c>
      <c r="Z13" s="10"/>
      <c r="AC13" s="63">
        <f>J5+2</f>
        <v>2</v>
      </c>
      <c r="AD13" s="64"/>
      <c r="AE13" s="65"/>
      <c r="AF13" s="66" t="s">
        <v>54</v>
      </c>
      <c r="AG13" s="67"/>
      <c r="AH13" s="68"/>
      <c r="AI13" s="66" t="s">
        <v>55</v>
      </c>
      <c r="AJ13" s="67"/>
      <c r="AK13" s="68"/>
      <c r="AL13" s="66" t="s">
        <v>56</v>
      </c>
      <c r="AM13" s="67"/>
      <c r="AN13" s="68"/>
      <c r="AO13" s="66" t="s">
        <v>57</v>
      </c>
      <c r="AP13" s="67"/>
      <c r="AQ13" s="68"/>
      <c r="AR13" s="66" t="s">
        <v>23</v>
      </c>
      <c r="AS13" s="67"/>
      <c r="AT13" s="68"/>
      <c r="AU13" s="109" t="s">
        <v>58</v>
      </c>
      <c r="AV13" s="110"/>
      <c r="AW13" s="111"/>
      <c r="AX13" s="66" t="s">
        <v>59</v>
      </c>
      <c r="AY13" s="67"/>
      <c r="AZ13" s="68"/>
      <c r="BA13" s="66" t="s">
        <v>60</v>
      </c>
      <c r="BB13" s="67"/>
      <c r="BC13" s="68"/>
      <c r="BD13" s="66" t="s">
        <v>61</v>
      </c>
      <c r="BE13" s="67"/>
      <c r="BF13" s="68"/>
      <c r="BG13" s="109" t="s">
        <v>62</v>
      </c>
      <c r="BH13" s="110"/>
      <c r="BI13" s="111"/>
      <c r="BJ13" s="66" t="s">
        <v>63</v>
      </c>
      <c r="BK13" s="67"/>
      <c r="BL13" s="68"/>
      <c r="BM13" s="66" t="s">
        <v>64</v>
      </c>
      <c r="BN13" s="67"/>
      <c r="BO13" s="68"/>
      <c r="BP13" s="109" t="s">
        <v>65</v>
      </c>
      <c r="BQ13" s="110"/>
      <c r="BR13" s="111"/>
    </row>
    <row r="14" spans="2:70" ht="24.75" customHeight="1">
      <c r="B14" s="4" t="s">
        <v>66</v>
      </c>
      <c r="H14" s="49" t="s">
        <v>142</v>
      </c>
      <c r="AC14" s="120" t="s">
        <v>67</v>
      </c>
      <c r="AD14" s="121"/>
      <c r="AE14" s="122"/>
      <c r="AF14" s="65">
        <v>152</v>
      </c>
      <c r="AG14" s="113"/>
      <c r="AH14" s="113"/>
      <c r="AI14" s="65">
        <f>AF14</f>
        <v>152</v>
      </c>
      <c r="AJ14" s="113"/>
      <c r="AK14" s="113"/>
      <c r="AL14" s="65">
        <f>AF14</f>
        <v>152</v>
      </c>
      <c r="AM14" s="113"/>
      <c r="AN14" s="113"/>
      <c r="AO14" s="65">
        <v>152</v>
      </c>
      <c r="AP14" s="113"/>
      <c r="AQ14" s="113"/>
      <c r="AR14" s="65">
        <v>130</v>
      </c>
      <c r="AS14" s="113"/>
      <c r="AT14" s="113"/>
      <c r="AU14" s="65">
        <f>AR14</f>
        <v>130</v>
      </c>
      <c r="AV14" s="113"/>
      <c r="AW14" s="113"/>
      <c r="AX14" s="65">
        <v>123</v>
      </c>
      <c r="AY14" s="113"/>
      <c r="AZ14" s="113"/>
      <c r="BA14" s="65">
        <f>AX14</f>
        <v>123</v>
      </c>
      <c r="BB14" s="113"/>
      <c r="BC14" s="113"/>
      <c r="BD14" s="65">
        <f>AX14</f>
        <v>123</v>
      </c>
      <c r="BE14" s="113"/>
      <c r="BF14" s="113"/>
      <c r="BG14" s="65">
        <f>AX14</f>
        <v>123</v>
      </c>
      <c r="BH14" s="113"/>
      <c r="BI14" s="113"/>
      <c r="BJ14" s="65">
        <v>110</v>
      </c>
      <c r="BK14" s="113"/>
      <c r="BL14" s="113"/>
      <c r="BM14" s="65">
        <f>BJ14</f>
        <v>110</v>
      </c>
      <c r="BN14" s="113"/>
      <c r="BO14" s="113"/>
      <c r="BP14" s="65">
        <f>BJ14</f>
        <v>110</v>
      </c>
      <c r="BQ14" s="113"/>
      <c r="BR14" s="113"/>
    </row>
    <row r="15" spans="3:70" ht="24.75" customHeight="1">
      <c r="C15" s="4" t="str">
        <f>"a / b = "&amp;J10&amp;" / "&amp;J11&amp;"  ="</f>
        <v>a / b = 2500 / 2840  =</v>
      </c>
      <c r="I15" s="11">
        <f>ROUND(J10/J11,3)</f>
        <v>0.88</v>
      </c>
      <c r="J15" s="10"/>
      <c r="K15" s="7" t="str">
        <f>IF(I15&lt;=M15,"≤","＞")</f>
        <v>≤</v>
      </c>
      <c r="M15" s="22">
        <v>1.5</v>
      </c>
      <c r="P15" s="4" t="str">
        <f>IF(I15&lt;=M15,"O.K","N.G")</f>
        <v>O.K</v>
      </c>
      <c r="AC15" s="66" t="s">
        <v>68</v>
      </c>
      <c r="AD15" s="67"/>
      <c r="AE15" s="68"/>
      <c r="AF15" s="65">
        <v>256</v>
      </c>
      <c r="AG15" s="113"/>
      <c r="AH15" s="113"/>
      <c r="AI15" s="113">
        <f>AF15</f>
        <v>256</v>
      </c>
      <c r="AJ15" s="113"/>
      <c r="AK15" s="113"/>
      <c r="AL15" s="113">
        <f>AF15</f>
        <v>256</v>
      </c>
      <c r="AM15" s="113"/>
      <c r="AN15" s="113"/>
      <c r="AO15" s="65">
        <v>256</v>
      </c>
      <c r="AP15" s="113"/>
      <c r="AQ15" s="113"/>
      <c r="AR15" s="123">
        <v>220</v>
      </c>
      <c r="AS15" s="123"/>
      <c r="AT15" s="123"/>
      <c r="AU15" s="123">
        <f>AR15</f>
        <v>220</v>
      </c>
      <c r="AV15" s="123"/>
      <c r="AW15" s="123"/>
      <c r="AX15" s="123">
        <v>209</v>
      </c>
      <c r="AY15" s="123"/>
      <c r="AZ15" s="123"/>
      <c r="BA15" s="65">
        <f>AX15</f>
        <v>209</v>
      </c>
      <c r="BB15" s="113"/>
      <c r="BC15" s="113"/>
      <c r="BD15" s="65">
        <f>AX15</f>
        <v>209</v>
      </c>
      <c r="BE15" s="113"/>
      <c r="BF15" s="113"/>
      <c r="BG15" s="65">
        <f>AX15</f>
        <v>209</v>
      </c>
      <c r="BH15" s="113"/>
      <c r="BI15" s="113"/>
      <c r="BJ15" s="113">
        <v>188</v>
      </c>
      <c r="BK15" s="113"/>
      <c r="BL15" s="113"/>
      <c r="BM15" s="113">
        <f>BJ15</f>
        <v>188</v>
      </c>
      <c r="BN15" s="113"/>
      <c r="BO15" s="113"/>
      <c r="BP15" s="113">
        <f>BJ15</f>
        <v>188</v>
      </c>
      <c r="BQ15" s="113"/>
      <c r="BR15" s="113"/>
    </row>
    <row r="16" spans="2:70" ht="24.75" customHeight="1">
      <c r="B16" s="23" t="s">
        <v>69</v>
      </c>
      <c r="E16" s="4">
        <f>IF(J5=0,"",J5)</f>
      </c>
      <c r="F16" s="4" t="s">
        <v>70</v>
      </c>
      <c r="K16" s="4" t="s">
        <v>13</v>
      </c>
      <c r="L16" s="4" t="str">
        <f>IF(AND(J5=0,I15&gt;1),"＞ 1",IF(AND(J5=0,I15&lt;=1),"≤ 1",IF(AND(J5=1,I15&gt;0.8),"＞ 0.80",IF(AND(J5=1,I15&lt;=0.8),"≤ 0.80",IF(AND(J5=2,I15&gt;0.64),"＞ 0.64",IF(AND(J5=2,I15&lt;=0.64),"≤ 0.64"))))))</f>
        <v>≤ 1</v>
      </c>
      <c r="O16" s="4" t="s">
        <v>35</v>
      </c>
      <c r="AC16" s="124" t="s">
        <v>71</v>
      </c>
      <c r="AD16" s="125"/>
      <c r="AE16" s="126"/>
      <c r="AF16" s="65">
        <v>310</v>
      </c>
      <c r="AG16" s="113"/>
      <c r="AH16" s="113"/>
      <c r="AI16" s="65">
        <f>AF16</f>
        <v>310</v>
      </c>
      <c r="AJ16" s="113"/>
      <c r="AK16" s="113"/>
      <c r="AL16" s="65">
        <f>AF16</f>
        <v>310</v>
      </c>
      <c r="AM16" s="113"/>
      <c r="AN16" s="113"/>
      <c r="AO16" s="65">
        <v>310</v>
      </c>
      <c r="AP16" s="113"/>
      <c r="AQ16" s="113"/>
      <c r="AR16" s="65">
        <v>310</v>
      </c>
      <c r="AS16" s="113"/>
      <c r="AT16" s="113"/>
      <c r="AU16" s="65">
        <f>AR16</f>
        <v>310</v>
      </c>
      <c r="AV16" s="113"/>
      <c r="AW16" s="113"/>
      <c r="AX16" s="65">
        <v>294</v>
      </c>
      <c r="AY16" s="113"/>
      <c r="AZ16" s="113"/>
      <c r="BA16" s="65">
        <f>AX16</f>
        <v>294</v>
      </c>
      <c r="BB16" s="113"/>
      <c r="BC16" s="113"/>
      <c r="BD16" s="65">
        <f>AX16</f>
        <v>294</v>
      </c>
      <c r="BE16" s="113"/>
      <c r="BF16" s="113"/>
      <c r="BG16" s="65">
        <f>AX16</f>
        <v>294</v>
      </c>
      <c r="BH16" s="113"/>
      <c r="BI16" s="113"/>
      <c r="BJ16" s="65">
        <v>262</v>
      </c>
      <c r="BK16" s="113"/>
      <c r="BL16" s="113"/>
      <c r="BM16" s="65">
        <f>BJ16</f>
        <v>262</v>
      </c>
      <c r="BN16" s="113"/>
      <c r="BO16" s="113"/>
      <c r="BP16" s="65">
        <f>BJ16</f>
        <v>262</v>
      </c>
      <c r="BQ16" s="113"/>
      <c r="BR16" s="113"/>
    </row>
    <row r="17" spans="3:24" ht="24.75" customHeight="1">
      <c r="C17" s="4" t="str">
        <f>IF(AND(J5=0,I15&gt;1),"(b/100t)⁴[(σ/345)²+ { τ / 77 + 58(b/a)²}²]",IF(AND(J5=0,I15&lt;=1),"(b/100t)⁴[(σ/345)²+ { τ / 58 + 77(b/a)²}²]",IF(AND(J5=1,I15&gt;0.8),"(b/100t)⁴[(σ/900)²+ { τ / 120 + 58(b/a)²}²]",IF(AND(J5=1,I15&lt;=0.8),"(b/100t)⁴[(σ/900)²+ { τ / 90 + 77(b/a)²}²]",IF(AND(J5=2,I15&gt;0.64),"(b/100t)⁴[(σ/3000)²+ { τ / 187 + 58(b/a)²}²]",IF(AND(J5=2,I15&lt;=0.64),"(b/100t)⁴[(σ/3000)²+ { τ / 140 + 77(b/a)²}²]"))))))</f>
        <v>(b/100t)⁴[(σ/345)²+ { τ / 58 + 77(b/a)²}²]</v>
      </c>
      <c r="O17" s="4" t="s">
        <v>5</v>
      </c>
      <c r="P17" s="10">
        <f>ROUND(IF(AND(J5=0,I15&gt;1),((J11/(100*J12))^4)*(((K6/345)^2)+((K7/(77+58*(J11/J10)^2))^2)),IF(AND(J5=0,I15&lt;=1),((J11/(100*J12))^4)*(((K6/345)^2)+((K7/(58+77*(J11/J10)^2))^2)),IF(AND(J5=1,I15&gt;0.8),((J11/(100*J12))^4)*(((K6/900)^2)+((K7/(120+58*(J11/J10)^2))^2)),IF(AND(J5=1,I15&lt;=0.8),((J11/(100*J12))^4)*(((K6/900)^2)+((K7/(90+77*(J11/J10)^2))^2)),IF(AND(J5=2,I15&gt;0.64),((J11/(100*J12))^4)*(((K6/3000)^2)+((K7/(187+58*(J11/J10)^2))^2)),IF(AND(J5=2,I15&lt;=0.64),((J11/(100*J12))^4)*(((K6/3000)^2)+((K7/(140+77*(J11/J10)^2))^2)))))))),3)</f>
        <v>4.113</v>
      </c>
      <c r="Q17" s="10"/>
      <c r="S17" s="7" t="str">
        <f>IF(P17&lt;=U17,"＜","＞")</f>
        <v>＞</v>
      </c>
      <c r="U17" s="10">
        <v>1</v>
      </c>
      <c r="X17" s="4" t="str">
        <f>IF(P17&lt;=U17,"O.K","N.G")</f>
        <v>N.G</v>
      </c>
    </row>
    <row r="18" spans="2:8" ht="24.75" customHeight="1">
      <c r="B18" s="3" t="s">
        <v>72</v>
      </c>
      <c r="H18" s="49" t="s">
        <v>143</v>
      </c>
    </row>
    <row r="19" spans="3:14" ht="24.75" customHeight="1">
      <c r="C19" s="4" t="s">
        <v>14</v>
      </c>
      <c r="E19" s="4" t="s">
        <v>36</v>
      </c>
      <c r="H19" s="4" t="str">
        <f>"8.0 ("&amp;J11&amp;"/"&amp;J10&amp;")²="</f>
        <v>8.0 (2840/2500)²=</v>
      </c>
      <c r="M19" s="10">
        <f>ROUND(8*(J11/J10)^2,3)</f>
        <v>10.324</v>
      </c>
      <c r="N19" s="10"/>
    </row>
    <row r="20" spans="9:21" ht="24.75" customHeight="1">
      <c r="I20" s="4" t="str">
        <f>"( "&amp;J11&amp;" ×"&amp;J12&amp;"³/ 11 ) ×"&amp;M19&amp;" ="</f>
        <v>( 2840 ×14³/ 11 ) ×10.324 =</v>
      </c>
      <c r="R20" s="20">
        <f>ROUND((J11*J12^3/11)*M19,3)</f>
        <v>7314047.185</v>
      </c>
      <c r="S20" s="11"/>
      <c r="T20" s="11"/>
      <c r="U20" s="3" t="s">
        <v>129</v>
      </c>
    </row>
    <row r="21" spans="17:19" ht="24.75" customHeight="1">
      <c r="Q21" s="11"/>
      <c r="R21" s="11"/>
      <c r="S21" s="11"/>
    </row>
    <row r="22" spans="5:24" ht="24.75" customHeight="1">
      <c r="E22" s="4" t="str">
        <f>"⅓ × "&amp;K9&amp;" × "&amp;K8&amp;"³="</f>
        <v>⅓ × 14 × 180³=</v>
      </c>
      <c r="J22" s="10">
        <f>ROUND(K9*K8^3/3,3)</f>
        <v>27216000</v>
      </c>
      <c r="K22" s="10"/>
      <c r="L22" s="10"/>
      <c r="M22" s="3" t="s">
        <v>51</v>
      </c>
      <c r="O22" s="7" t="str">
        <f>IF(J22&gt;R20,"＞","＜")</f>
        <v>＞</v>
      </c>
      <c r="T22" s="4" t="str">
        <f>IF(J22&gt;R20,"O.K","N.G")</f>
        <v>O.K</v>
      </c>
      <c r="W22" s="12"/>
      <c r="X22" s="12"/>
    </row>
    <row r="23" spans="10:24" ht="24.75" customHeight="1">
      <c r="J23" s="10"/>
      <c r="K23" s="10"/>
      <c r="L23" s="10"/>
      <c r="O23" s="7"/>
      <c r="W23" s="12"/>
      <c r="X23" s="12"/>
    </row>
    <row r="24" ht="24.75" customHeight="1">
      <c r="B24" s="4" t="s">
        <v>73</v>
      </c>
    </row>
    <row r="25" spans="3:22" ht="24.75" customHeight="1">
      <c r="C25" s="4" t="s">
        <v>236</v>
      </c>
      <c r="E25" s="4" t="str">
        <f>J11&amp;" / 30 + 50 ="</f>
        <v>2840 / 30 + 50 =</v>
      </c>
      <c r="I25" s="9">
        <f>ROUND(J11/30+50,3)</f>
        <v>144.667</v>
      </c>
      <c r="J25" s="10"/>
      <c r="K25" s="4" t="s">
        <v>22</v>
      </c>
      <c r="M25" s="7" t="str">
        <f>IF(I25&gt;Q25,"＞","＜")</f>
        <v>＜</v>
      </c>
      <c r="O25" s="4" t="s">
        <v>33</v>
      </c>
      <c r="Q25" s="9">
        <f>K8</f>
        <v>180</v>
      </c>
      <c r="R25" s="9"/>
      <c r="S25" s="4" t="s">
        <v>22</v>
      </c>
      <c r="V25" s="4" t="str">
        <f>IF(Q25&gt;I25,"O.K","N.G")</f>
        <v>O.K</v>
      </c>
    </row>
    <row r="26" ht="24.75" customHeight="1">
      <c r="B26" s="4" t="s">
        <v>103</v>
      </c>
    </row>
    <row r="27" spans="3:22" ht="24.75" customHeight="1">
      <c r="C27" s="4" t="s">
        <v>237</v>
      </c>
      <c r="E27" s="22" t="str">
        <f>K8&amp;" / 13 ="</f>
        <v>180 / 13 =</v>
      </c>
      <c r="H27" s="9">
        <f>ROUND(K8/13,3)</f>
        <v>13.846</v>
      </c>
      <c r="I27" s="10"/>
      <c r="J27" s="4" t="s">
        <v>22</v>
      </c>
      <c r="L27" s="7" t="str">
        <f>IF(H27&gt;P27,"＞","＜")</f>
        <v>＜</v>
      </c>
      <c r="N27" s="4" t="s">
        <v>34</v>
      </c>
      <c r="P27" s="9">
        <f>K9</f>
        <v>14</v>
      </c>
      <c r="Q27" s="9"/>
      <c r="R27" s="4" t="s">
        <v>22</v>
      </c>
      <c r="U27" s="23" t="s">
        <v>8</v>
      </c>
      <c r="V27" s="4" t="str">
        <f>IF(H27&lt;P27,"O.K","N.G")</f>
        <v>O.K</v>
      </c>
    </row>
    <row r="28" spans="5:19" ht="24.75" customHeight="1">
      <c r="E28" s="22"/>
      <c r="H28" s="10"/>
      <c r="I28" s="10"/>
      <c r="L28" s="7"/>
      <c r="P28" s="9"/>
      <c r="Q28" s="9"/>
      <c r="S28" s="23"/>
    </row>
    <row r="29" spans="1:29" s="2" customFormat="1" ht="24.75" customHeight="1">
      <c r="A29" s="4" t="s">
        <v>154</v>
      </c>
      <c r="C29" s="1"/>
      <c r="D29" s="1"/>
      <c r="E29" s="105" t="s">
        <v>156</v>
      </c>
      <c r="F29" s="1"/>
      <c r="G29" s="1"/>
      <c r="H29" s="1"/>
      <c r="I29" s="1"/>
      <c r="J29" s="1"/>
      <c r="K29" s="1"/>
      <c r="L29" s="1"/>
      <c r="M29" s="1"/>
      <c r="N29" s="1"/>
      <c r="O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C29" s="1"/>
    </row>
    <row r="30" spans="1:71" ht="24.75" customHeight="1">
      <c r="A30" s="18" t="s">
        <v>151</v>
      </c>
      <c r="H30" s="5" t="s">
        <v>130</v>
      </c>
      <c r="I30" s="106" t="s">
        <v>55</v>
      </c>
      <c r="J30" s="106"/>
      <c r="K30" s="106"/>
      <c r="L30" s="106"/>
      <c r="M30" s="3" t="s">
        <v>131</v>
      </c>
      <c r="N30" s="5"/>
      <c r="AC30" s="60" t="s">
        <v>152</v>
      </c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7"/>
      <c r="BQ30" s="17"/>
      <c r="BR30" s="17"/>
      <c r="BS30" s="17"/>
    </row>
    <row r="31" spans="2:70" ht="24.75" customHeight="1">
      <c r="B31" s="4" t="s">
        <v>132</v>
      </c>
      <c r="H31" s="4" t="s">
        <v>7</v>
      </c>
      <c r="I31" s="4" t="s">
        <v>10</v>
      </c>
      <c r="J31" s="108">
        <v>0</v>
      </c>
      <c r="P31" s="6"/>
      <c r="Q31" s="6"/>
      <c r="S31" s="6"/>
      <c r="T31" s="6"/>
      <c r="U31" s="6"/>
      <c r="V31" s="6"/>
      <c r="W31" s="6"/>
      <c r="X31" s="6"/>
      <c r="Y31" s="6"/>
      <c r="Z31" s="6"/>
      <c r="AC31" s="63">
        <f>IF(J38&lt;=40,2,IF(J38&lt;=75,3,4))</f>
        <v>2</v>
      </c>
      <c r="AD31" s="64"/>
      <c r="AE31" s="65"/>
      <c r="AF31" s="66" t="s">
        <v>54</v>
      </c>
      <c r="AG31" s="67"/>
      <c r="AH31" s="68"/>
      <c r="AI31" s="66" t="s">
        <v>55</v>
      </c>
      <c r="AJ31" s="67"/>
      <c r="AK31" s="68"/>
      <c r="AL31" s="66" t="s">
        <v>56</v>
      </c>
      <c r="AM31" s="67"/>
      <c r="AN31" s="68"/>
      <c r="AO31" s="66" t="s">
        <v>57</v>
      </c>
      <c r="AP31" s="67"/>
      <c r="AQ31" s="68"/>
      <c r="AR31" s="66" t="s">
        <v>23</v>
      </c>
      <c r="AS31" s="67"/>
      <c r="AT31" s="68"/>
      <c r="AU31" s="109" t="s">
        <v>58</v>
      </c>
      <c r="AV31" s="110"/>
      <c r="AW31" s="111"/>
      <c r="AX31" s="66" t="s">
        <v>59</v>
      </c>
      <c r="AY31" s="67"/>
      <c r="AZ31" s="68"/>
      <c r="BA31" s="66" t="s">
        <v>60</v>
      </c>
      <c r="BB31" s="67"/>
      <c r="BC31" s="68"/>
      <c r="BD31" s="66" t="s">
        <v>61</v>
      </c>
      <c r="BE31" s="67"/>
      <c r="BF31" s="68"/>
      <c r="BG31" s="109" t="s">
        <v>62</v>
      </c>
      <c r="BH31" s="110"/>
      <c r="BI31" s="111"/>
      <c r="BJ31" s="66" t="s">
        <v>63</v>
      </c>
      <c r="BK31" s="67"/>
      <c r="BL31" s="68"/>
      <c r="BM31" s="66" t="s">
        <v>64</v>
      </c>
      <c r="BN31" s="67"/>
      <c r="BO31" s="68"/>
      <c r="BP31" s="109" t="s">
        <v>65</v>
      </c>
      <c r="BQ31" s="110"/>
      <c r="BR31" s="111"/>
    </row>
    <row r="32" spans="2:70" ht="24.75" customHeight="1">
      <c r="B32" s="4" t="s">
        <v>133</v>
      </c>
      <c r="H32" s="4" t="s">
        <v>7</v>
      </c>
      <c r="I32" s="4" t="s">
        <v>134</v>
      </c>
      <c r="K32" s="112">
        <v>-171.413000614</v>
      </c>
      <c r="L32" s="112"/>
      <c r="M32" s="112"/>
      <c r="N32" s="4" t="s">
        <v>135</v>
      </c>
      <c r="P32" s="6"/>
      <c r="Q32" s="6"/>
      <c r="S32" s="6"/>
      <c r="T32" s="6"/>
      <c r="U32" s="6"/>
      <c r="V32" s="6"/>
      <c r="W32" s="6"/>
      <c r="X32" s="6"/>
      <c r="Y32" s="6"/>
      <c r="Z32" s="6"/>
      <c r="AC32" s="113">
        <v>40</v>
      </c>
      <c r="AD32" s="113"/>
      <c r="AE32" s="113"/>
      <c r="AF32" s="63">
        <v>140</v>
      </c>
      <c r="AG32" s="64"/>
      <c r="AH32" s="65"/>
      <c r="AI32" s="63">
        <f>AF32</f>
        <v>140</v>
      </c>
      <c r="AJ32" s="64"/>
      <c r="AK32" s="65"/>
      <c r="AL32" s="63">
        <f>AF32</f>
        <v>140</v>
      </c>
      <c r="AM32" s="64"/>
      <c r="AN32" s="65"/>
      <c r="AO32" s="63">
        <v>140</v>
      </c>
      <c r="AP32" s="64"/>
      <c r="AQ32" s="65"/>
      <c r="AR32" s="63">
        <v>185</v>
      </c>
      <c r="AS32" s="64"/>
      <c r="AT32" s="65"/>
      <c r="AU32" s="63">
        <f>AR32</f>
        <v>185</v>
      </c>
      <c r="AV32" s="64"/>
      <c r="AW32" s="65"/>
      <c r="AX32" s="63">
        <v>210</v>
      </c>
      <c r="AY32" s="64"/>
      <c r="AZ32" s="65"/>
      <c r="BA32" s="63">
        <f>AX32</f>
        <v>210</v>
      </c>
      <c r="BB32" s="64"/>
      <c r="BC32" s="65"/>
      <c r="BD32" s="63">
        <f>AX32</f>
        <v>210</v>
      </c>
      <c r="BE32" s="64"/>
      <c r="BF32" s="65"/>
      <c r="BG32" s="63">
        <v>210</v>
      </c>
      <c r="BH32" s="64"/>
      <c r="BI32" s="65"/>
      <c r="BJ32" s="63">
        <v>255</v>
      </c>
      <c r="BK32" s="64"/>
      <c r="BL32" s="65"/>
      <c r="BM32" s="63">
        <f>BJ32</f>
        <v>255</v>
      </c>
      <c r="BN32" s="64"/>
      <c r="BO32" s="65"/>
      <c r="BP32" s="63">
        <f>BM32</f>
        <v>255</v>
      </c>
      <c r="BQ32" s="64"/>
      <c r="BR32" s="65"/>
    </row>
    <row r="33" spans="2:70" ht="24.75" customHeight="1">
      <c r="B33" s="4" t="s">
        <v>136</v>
      </c>
      <c r="H33" s="4" t="s">
        <v>7</v>
      </c>
      <c r="I33" s="4" t="s">
        <v>24</v>
      </c>
      <c r="K33" s="112">
        <v>124.018635297</v>
      </c>
      <c r="L33" s="114"/>
      <c r="M33" s="114"/>
      <c r="N33" s="4" t="s">
        <v>135</v>
      </c>
      <c r="P33" s="6"/>
      <c r="Q33" s="6"/>
      <c r="S33" s="6"/>
      <c r="T33" s="6"/>
      <c r="U33" s="6"/>
      <c r="V33" s="6"/>
      <c r="W33" s="6"/>
      <c r="X33" s="6"/>
      <c r="Y33" s="6"/>
      <c r="Z33" s="6"/>
      <c r="AC33" s="115" t="s">
        <v>137</v>
      </c>
      <c r="AD33" s="115"/>
      <c r="AE33" s="115"/>
      <c r="AF33" s="63">
        <v>125</v>
      </c>
      <c r="AG33" s="64"/>
      <c r="AH33" s="65"/>
      <c r="AI33" s="63">
        <f>AF33</f>
        <v>125</v>
      </c>
      <c r="AJ33" s="64"/>
      <c r="AK33" s="65"/>
      <c r="AL33" s="63">
        <f>AF33</f>
        <v>125</v>
      </c>
      <c r="AM33" s="64"/>
      <c r="AN33" s="65"/>
      <c r="AO33" s="63">
        <v>140</v>
      </c>
      <c r="AP33" s="64"/>
      <c r="AQ33" s="65"/>
      <c r="AR33" s="63">
        <v>175</v>
      </c>
      <c r="AS33" s="64"/>
      <c r="AT33" s="65"/>
      <c r="AU33" s="63">
        <f>AU32</f>
        <v>185</v>
      </c>
      <c r="AV33" s="64"/>
      <c r="AW33" s="65"/>
      <c r="AX33" s="63">
        <v>195</v>
      </c>
      <c r="AY33" s="64"/>
      <c r="AZ33" s="65"/>
      <c r="BA33" s="63">
        <f>AX33</f>
        <v>195</v>
      </c>
      <c r="BB33" s="64"/>
      <c r="BC33" s="65"/>
      <c r="BD33" s="63">
        <f>AX33</f>
        <v>195</v>
      </c>
      <c r="BE33" s="64"/>
      <c r="BF33" s="65"/>
      <c r="BG33" s="63">
        <v>210</v>
      </c>
      <c r="BH33" s="64"/>
      <c r="BI33" s="65"/>
      <c r="BJ33" s="63">
        <v>245</v>
      </c>
      <c r="BK33" s="64"/>
      <c r="BL33" s="65"/>
      <c r="BM33" s="63">
        <f>BJ33</f>
        <v>245</v>
      </c>
      <c r="BN33" s="64"/>
      <c r="BO33" s="65"/>
      <c r="BP33" s="63">
        <f>BP32</f>
        <v>255</v>
      </c>
      <c r="BQ33" s="64"/>
      <c r="BR33" s="65"/>
    </row>
    <row r="34" spans="2:70" ht="24.75" customHeight="1">
      <c r="B34" s="4" t="s">
        <v>138</v>
      </c>
      <c r="H34" s="4" t="s">
        <v>7</v>
      </c>
      <c r="I34" s="4" t="s">
        <v>33</v>
      </c>
      <c r="K34" s="116">
        <v>180</v>
      </c>
      <c r="L34" s="117"/>
      <c r="M34" s="4" t="s">
        <v>22</v>
      </c>
      <c r="P34" s="6"/>
      <c r="Q34" s="6"/>
      <c r="S34" s="6"/>
      <c r="T34" s="6"/>
      <c r="U34" s="6"/>
      <c r="V34" s="6"/>
      <c r="W34" s="6"/>
      <c r="X34" s="6"/>
      <c r="Y34" s="6"/>
      <c r="Z34" s="6"/>
      <c r="AC34" s="115" t="s">
        <v>139</v>
      </c>
      <c r="AD34" s="115"/>
      <c r="AE34" s="115"/>
      <c r="AF34" s="63">
        <v>125</v>
      </c>
      <c r="AG34" s="64"/>
      <c r="AH34" s="65"/>
      <c r="AI34" s="63">
        <f>AF34</f>
        <v>125</v>
      </c>
      <c r="AJ34" s="64"/>
      <c r="AK34" s="65"/>
      <c r="AL34" s="63">
        <f>AF34</f>
        <v>125</v>
      </c>
      <c r="AM34" s="64"/>
      <c r="AN34" s="65"/>
      <c r="AO34" s="63">
        <v>140</v>
      </c>
      <c r="AP34" s="64"/>
      <c r="AQ34" s="65"/>
      <c r="AR34" s="63">
        <v>175</v>
      </c>
      <c r="AS34" s="64"/>
      <c r="AT34" s="65"/>
      <c r="AU34" s="63">
        <f>AU32</f>
        <v>185</v>
      </c>
      <c r="AV34" s="64"/>
      <c r="AW34" s="65"/>
      <c r="AX34" s="63">
        <v>190</v>
      </c>
      <c r="AY34" s="64"/>
      <c r="AZ34" s="65"/>
      <c r="BA34" s="63">
        <f>AX34</f>
        <v>190</v>
      </c>
      <c r="BB34" s="64"/>
      <c r="BC34" s="65"/>
      <c r="BD34" s="63">
        <f>AX34</f>
        <v>190</v>
      </c>
      <c r="BE34" s="64"/>
      <c r="BF34" s="65"/>
      <c r="BG34" s="63">
        <v>210</v>
      </c>
      <c r="BH34" s="64"/>
      <c r="BI34" s="65"/>
      <c r="BJ34" s="63">
        <v>240</v>
      </c>
      <c r="BK34" s="64"/>
      <c r="BL34" s="65"/>
      <c r="BM34" s="63">
        <f>BJ34</f>
        <v>240</v>
      </c>
      <c r="BN34" s="64"/>
      <c r="BO34" s="65"/>
      <c r="BP34" s="63">
        <f>BP32</f>
        <v>255</v>
      </c>
      <c r="BQ34" s="64"/>
      <c r="BR34" s="65"/>
    </row>
    <row r="35" spans="2:26" ht="24.75" customHeight="1">
      <c r="B35" s="4" t="s">
        <v>140</v>
      </c>
      <c r="H35" s="4" t="s">
        <v>7</v>
      </c>
      <c r="I35" s="4" t="s">
        <v>34</v>
      </c>
      <c r="K35" s="116">
        <v>14</v>
      </c>
      <c r="L35" s="117"/>
      <c r="M35" s="4" t="s">
        <v>22</v>
      </c>
      <c r="P35" s="6"/>
      <c r="Q35" s="6"/>
      <c r="S35" s="6"/>
      <c r="T35" s="6"/>
      <c r="U35" s="6"/>
      <c r="V35" s="6"/>
      <c r="W35" s="6"/>
      <c r="X35" s="6"/>
      <c r="Y35" s="6"/>
      <c r="Z35" s="6"/>
    </row>
    <row r="36" spans="2:12" ht="24.75" customHeight="1">
      <c r="B36" s="4" t="s">
        <v>141</v>
      </c>
      <c r="H36" s="4" t="s">
        <v>7</v>
      </c>
      <c r="I36" s="4" t="s">
        <v>11</v>
      </c>
      <c r="J36" s="118">
        <v>2500</v>
      </c>
      <c r="K36" s="119"/>
      <c r="L36" s="4" t="s">
        <v>22</v>
      </c>
    </row>
    <row r="37" spans="2:37" ht="24.75" customHeight="1">
      <c r="B37" s="4" t="s">
        <v>50</v>
      </c>
      <c r="H37" s="4" t="s">
        <v>7</v>
      </c>
      <c r="I37" s="4" t="s">
        <v>12</v>
      </c>
      <c r="J37" s="118">
        <v>2840</v>
      </c>
      <c r="K37" s="119"/>
      <c r="L37" s="4" t="s">
        <v>22</v>
      </c>
      <c r="U37" s="49" t="str">
        <f>IF(J31=3,"","[道示Ⅱ 10.4.2]")</f>
        <v>[道示Ⅱ 10.4.2]</v>
      </c>
      <c r="Y37" s="10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2:67" ht="24.75" customHeight="1">
      <c r="B38" s="23" t="s">
        <v>104</v>
      </c>
      <c r="G38" s="12"/>
      <c r="H38" s="4" t="s">
        <v>7</v>
      </c>
      <c r="I38" s="4" t="s">
        <v>9</v>
      </c>
      <c r="J38" s="118">
        <v>14</v>
      </c>
      <c r="K38" s="119"/>
      <c r="L38" s="4" t="s">
        <v>22</v>
      </c>
      <c r="M38" s="18" t="str">
        <f>IF(J31=3,"",IF(J38&gt;=W38," ≥","＜ "))</f>
        <v>＜ </v>
      </c>
      <c r="N38" s="4" t="str">
        <f>IF(J31=3,"","twmin = b /(")</f>
        <v>twmin = b /(</v>
      </c>
      <c r="Q38" s="4">
        <f>IF(J31=3,"",HLOOKUP(I30,AF39:BR42,AC39,FALSE))</f>
        <v>152</v>
      </c>
      <c r="R38" s="7" t="str">
        <f>IF(J31=3,"","×")</f>
        <v>×</v>
      </c>
      <c r="S38" s="13">
        <f>IF(J31=3,"",Y39)</f>
        <v>0.904</v>
      </c>
      <c r="T38" s="13"/>
      <c r="U38" s="4" t="str">
        <f>IF(J31=3,"",")")</f>
        <v>)</v>
      </c>
      <c r="V38" s="7" t="str">
        <f>IF(J31=3,"","=")</f>
        <v>=</v>
      </c>
      <c r="W38" s="25">
        <f>IF(J31=3,"",J37/(Q38*S38))</f>
        <v>20.66837447601304</v>
      </c>
      <c r="X38" s="25"/>
      <c r="Y38" s="4" t="str">
        <f>IF(J31=3,"","mm")</f>
        <v>mm</v>
      </c>
      <c r="Z38" s="4" t="str">
        <f>IF(J31=3,"",IF(J38&gt;=W38,"O.K.","N.G."))</f>
        <v>N.G.</v>
      </c>
      <c r="AC38" s="60" t="s">
        <v>53</v>
      </c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</row>
    <row r="39" spans="7:70" ht="24.75" customHeight="1">
      <c r="G39" s="12"/>
      <c r="I39" s="18" t="str">
        <f>IF(J31=3,"","ここに,")</f>
        <v>ここに,</v>
      </c>
      <c r="K39" s="4" t="str">
        <f>IF(J31=3,"","√(σca/σc) = √("&amp;HLOOKUP(I30,AF31:BR34,AC31,FALSE)&amp;"/"&amp;ABS(ROUND(K32,3))&amp;") =")</f>
        <v>√(σca/σc) = √(140/171.413) =</v>
      </c>
      <c r="P39" s="8"/>
      <c r="Q39" s="7"/>
      <c r="S39" s="13">
        <f>IF(J31=3,"",SQRT(HLOOKUP(I30,AF31:BR34,AC31,FALSE)/ABS(K32)))</f>
        <v>0.9037371581579139</v>
      </c>
      <c r="T39" s="25"/>
      <c r="U39" s="4" t="str">
        <f>IF(J31=3,"",IF(S39&gt;1.2,"＞","＜"))</f>
        <v>＜</v>
      </c>
      <c r="V39" s="4">
        <f>IF(J31=3,"",1.2)</f>
        <v>1.2</v>
      </c>
      <c r="X39" s="4" t="str">
        <f>IF(J31=3,"","⇒")</f>
        <v>⇒</v>
      </c>
      <c r="Y39" s="10">
        <f>IF(J31=3,"",IF(S39&gt;1.2,1.2,ROUND(S39,3)))</f>
        <v>0.904</v>
      </c>
      <c r="Z39" s="10"/>
      <c r="AC39" s="63">
        <f>J31+2</f>
        <v>2</v>
      </c>
      <c r="AD39" s="64"/>
      <c r="AE39" s="65"/>
      <c r="AF39" s="66" t="s">
        <v>54</v>
      </c>
      <c r="AG39" s="67"/>
      <c r="AH39" s="68"/>
      <c r="AI39" s="66" t="s">
        <v>55</v>
      </c>
      <c r="AJ39" s="67"/>
      <c r="AK39" s="68"/>
      <c r="AL39" s="66" t="s">
        <v>56</v>
      </c>
      <c r="AM39" s="67"/>
      <c r="AN39" s="68"/>
      <c r="AO39" s="66" t="s">
        <v>57</v>
      </c>
      <c r="AP39" s="67"/>
      <c r="AQ39" s="68"/>
      <c r="AR39" s="66" t="s">
        <v>23</v>
      </c>
      <c r="AS39" s="67"/>
      <c r="AT39" s="68"/>
      <c r="AU39" s="109" t="s">
        <v>58</v>
      </c>
      <c r="AV39" s="110"/>
      <c r="AW39" s="111"/>
      <c r="AX39" s="66" t="s">
        <v>59</v>
      </c>
      <c r="AY39" s="67"/>
      <c r="AZ39" s="68"/>
      <c r="BA39" s="66" t="s">
        <v>60</v>
      </c>
      <c r="BB39" s="67"/>
      <c r="BC39" s="68"/>
      <c r="BD39" s="66" t="s">
        <v>61</v>
      </c>
      <c r="BE39" s="67"/>
      <c r="BF39" s="68"/>
      <c r="BG39" s="109" t="s">
        <v>62</v>
      </c>
      <c r="BH39" s="110"/>
      <c r="BI39" s="111"/>
      <c r="BJ39" s="66" t="s">
        <v>63</v>
      </c>
      <c r="BK39" s="67"/>
      <c r="BL39" s="68"/>
      <c r="BM39" s="66" t="s">
        <v>64</v>
      </c>
      <c r="BN39" s="67"/>
      <c r="BO39" s="68"/>
      <c r="BP39" s="109" t="s">
        <v>65</v>
      </c>
      <c r="BQ39" s="110"/>
      <c r="BR39" s="111"/>
    </row>
    <row r="40" spans="2:70" ht="24.75" customHeight="1">
      <c r="B40" s="4" t="s">
        <v>66</v>
      </c>
      <c r="H40" s="49" t="s">
        <v>142</v>
      </c>
      <c r="AC40" s="120" t="s">
        <v>67</v>
      </c>
      <c r="AD40" s="121"/>
      <c r="AE40" s="122"/>
      <c r="AF40" s="65">
        <v>152</v>
      </c>
      <c r="AG40" s="113"/>
      <c r="AH40" s="113"/>
      <c r="AI40" s="65">
        <f>AF40</f>
        <v>152</v>
      </c>
      <c r="AJ40" s="113"/>
      <c r="AK40" s="113"/>
      <c r="AL40" s="65">
        <f>AF40</f>
        <v>152</v>
      </c>
      <c r="AM40" s="113"/>
      <c r="AN40" s="113"/>
      <c r="AO40" s="65">
        <v>152</v>
      </c>
      <c r="AP40" s="113"/>
      <c r="AQ40" s="113"/>
      <c r="AR40" s="65">
        <v>130</v>
      </c>
      <c r="AS40" s="113"/>
      <c r="AT40" s="113"/>
      <c r="AU40" s="65">
        <f>AR40</f>
        <v>130</v>
      </c>
      <c r="AV40" s="113"/>
      <c r="AW40" s="113"/>
      <c r="AX40" s="65">
        <v>123</v>
      </c>
      <c r="AY40" s="113"/>
      <c r="AZ40" s="113"/>
      <c r="BA40" s="65">
        <f>AX40</f>
        <v>123</v>
      </c>
      <c r="BB40" s="113"/>
      <c r="BC40" s="113"/>
      <c r="BD40" s="65">
        <f>AX40</f>
        <v>123</v>
      </c>
      <c r="BE40" s="113"/>
      <c r="BF40" s="113"/>
      <c r="BG40" s="65">
        <f>AX40</f>
        <v>123</v>
      </c>
      <c r="BH40" s="113"/>
      <c r="BI40" s="113"/>
      <c r="BJ40" s="65">
        <v>110</v>
      </c>
      <c r="BK40" s="113"/>
      <c r="BL40" s="113"/>
      <c r="BM40" s="65">
        <f>BJ40</f>
        <v>110</v>
      </c>
      <c r="BN40" s="113"/>
      <c r="BO40" s="113"/>
      <c r="BP40" s="65">
        <f>BJ40</f>
        <v>110</v>
      </c>
      <c r="BQ40" s="113"/>
      <c r="BR40" s="113"/>
    </row>
    <row r="41" spans="3:70" ht="24.75" customHeight="1">
      <c r="C41" s="4" t="str">
        <f>"a / b = "&amp;J36&amp;" / "&amp;J37&amp;"  ="</f>
        <v>a / b = 2500 / 2840  =</v>
      </c>
      <c r="I41" s="11">
        <f>ROUND(J36/J37,3)</f>
        <v>0.88</v>
      </c>
      <c r="J41" s="10"/>
      <c r="K41" s="7" t="str">
        <f>IF(I41&lt;=M41,"≤","＞")</f>
        <v>≤</v>
      </c>
      <c r="M41" s="22">
        <v>1.5</v>
      </c>
      <c r="P41" s="4" t="str">
        <f>IF(I41&lt;=M41,"O.K","N.G")</f>
        <v>O.K</v>
      </c>
      <c r="AC41" s="66" t="s">
        <v>68</v>
      </c>
      <c r="AD41" s="67"/>
      <c r="AE41" s="68"/>
      <c r="AF41" s="65">
        <v>256</v>
      </c>
      <c r="AG41" s="113"/>
      <c r="AH41" s="113"/>
      <c r="AI41" s="113">
        <f>AF41</f>
        <v>256</v>
      </c>
      <c r="AJ41" s="113"/>
      <c r="AK41" s="113"/>
      <c r="AL41" s="113">
        <f>AF41</f>
        <v>256</v>
      </c>
      <c r="AM41" s="113"/>
      <c r="AN41" s="113"/>
      <c r="AO41" s="65">
        <v>256</v>
      </c>
      <c r="AP41" s="113"/>
      <c r="AQ41" s="113"/>
      <c r="AR41" s="123">
        <v>220</v>
      </c>
      <c r="AS41" s="123"/>
      <c r="AT41" s="123"/>
      <c r="AU41" s="123">
        <f>AR41</f>
        <v>220</v>
      </c>
      <c r="AV41" s="123"/>
      <c r="AW41" s="123"/>
      <c r="AX41" s="123">
        <v>209</v>
      </c>
      <c r="AY41" s="123"/>
      <c r="AZ41" s="123"/>
      <c r="BA41" s="65">
        <f>AX41</f>
        <v>209</v>
      </c>
      <c r="BB41" s="113"/>
      <c r="BC41" s="113"/>
      <c r="BD41" s="65">
        <f>AX41</f>
        <v>209</v>
      </c>
      <c r="BE41" s="113"/>
      <c r="BF41" s="113"/>
      <c r="BG41" s="65">
        <f>AX41</f>
        <v>209</v>
      </c>
      <c r="BH41" s="113"/>
      <c r="BI41" s="113"/>
      <c r="BJ41" s="113">
        <v>188</v>
      </c>
      <c r="BK41" s="113"/>
      <c r="BL41" s="113"/>
      <c r="BM41" s="113">
        <f>BJ41</f>
        <v>188</v>
      </c>
      <c r="BN41" s="113"/>
      <c r="BO41" s="113"/>
      <c r="BP41" s="113">
        <f>BJ41</f>
        <v>188</v>
      </c>
      <c r="BQ41" s="113"/>
      <c r="BR41" s="113"/>
    </row>
    <row r="42" spans="2:70" ht="24.75" customHeight="1">
      <c r="B42" s="23" t="s">
        <v>69</v>
      </c>
      <c r="E42" s="4">
        <f>IF(J31=0,"",J31)</f>
      </c>
      <c r="F42" s="4" t="s">
        <v>70</v>
      </c>
      <c r="K42" s="4" t="s">
        <v>13</v>
      </c>
      <c r="L42" s="4" t="str">
        <f>IF(AND(J31=0,I41&gt;1),"＞ 1",IF(AND(J31=0,I41&lt;=1),"≤ 1",IF(AND(J31=1,I41&gt;0.8),"＞ 0.80",IF(AND(J31=1,I41&lt;=0.8),"≤ 0.80",IF(AND(J31=2,I41&gt;0.64),"＞ 0.64",IF(AND(J31=2,I41&lt;=0.64),"≤ 0.64"))))))</f>
        <v>≤ 1</v>
      </c>
      <c r="O42" s="4" t="s">
        <v>35</v>
      </c>
      <c r="AC42" s="124" t="s">
        <v>71</v>
      </c>
      <c r="AD42" s="125"/>
      <c r="AE42" s="126"/>
      <c r="AF42" s="65">
        <v>310</v>
      </c>
      <c r="AG42" s="113"/>
      <c r="AH42" s="113"/>
      <c r="AI42" s="65">
        <f>AF42</f>
        <v>310</v>
      </c>
      <c r="AJ42" s="113"/>
      <c r="AK42" s="113"/>
      <c r="AL42" s="65">
        <f>AF42</f>
        <v>310</v>
      </c>
      <c r="AM42" s="113"/>
      <c r="AN42" s="113"/>
      <c r="AO42" s="65">
        <v>310</v>
      </c>
      <c r="AP42" s="113"/>
      <c r="AQ42" s="113"/>
      <c r="AR42" s="65">
        <v>310</v>
      </c>
      <c r="AS42" s="113"/>
      <c r="AT42" s="113"/>
      <c r="AU42" s="65">
        <f>AR42</f>
        <v>310</v>
      </c>
      <c r="AV42" s="113"/>
      <c r="AW42" s="113"/>
      <c r="AX42" s="65">
        <v>294</v>
      </c>
      <c r="AY42" s="113"/>
      <c r="AZ42" s="113"/>
      <c r="BA42" s="65">
        <f>AX42</f>
        <v>294</v>
      </c>
      <c r="BB42" s="113"/>
      <c r="BC42" s="113"/>
      <c r="BD42" s="65">
        <f>AX42</f>
        <v>294</v>
      </c>
      <c r="BE42" s="113"/>
      <c r="BF42" s="113"/>
      <c r="BG42" s="65">
        <f>AX42</f>
        <v>294</v>
      </c>
      <c r="BH42" s="113"/>
      <c r="BI42" s="113"/>
      <c r="BJ42" s="65">
        <v>262</v>
      </c>
      <c r="BK42" s="113"/>
      <c r="BL42" s="113"/>
      <c r="BM42" s="65">
        <f>BJ42</f>
        <v>262</v>
      </c>
      <c r="BN42" s="113"/>
      <c r="BO42" s="113"/>
      <c r="BP42" s="65">
        <f>BJ42</f>
        <v>262</v>
      </c>
      <c r="BQ42" s="113"/>
      <c r="BR42" s="113"/>
    </row>
    <row r="43" spans="3:24" ht="24.75" customHeight="1">
      <c r="C43" s="4" t="str">
        <f>IF(AND(J31=0,I41&gt;1),"(b/100t)⁴[(σ/345)²+ { τ / 77 + 58(b/a)²}²]",IF(AND(J31=0,I41&lt;=1),"(b/100t)⁴[(σ/345)²+ { τ / 58 + 77(b/a)²}²]",IF(AND(J31=1,I41&gt;0.8),"(b/100t)⁴[(σ/900)²+ { τ / 120 + 58(b/a)²}²]",IF(AND(J31=1,I41&lt;=0.8),"(b/100t)⁴[(σ/900)²+ { τ / 90 + 77(b/a)²}²]",IF(AND(J31=2,I41&gt;0.64),"(b/100t)⁴[(σ/3000)²+ { τ / 187 + 58(b/a)²}²]",IF(AND(J31=2,I41&lt;=0.64),"(b/100t)⁴[(σ/3000)²+ { τ / 140 + 77(b/a)²}²]"))))))</f>
        <v>(b/100t)⁴[(σ/345)²+ { τ / 58 + 77(b/a)²}²]</v>
      </c>
      <c r="O43" s="4" t="s">
        <v>5</v>
      </c>
      <c r="P43" s="10">
        <f>ROUND(IF(AND(J31=0,I41&gt;1),((J37/(100*J38))^4)*(((K32/345)^2)+((K33/(77+58*(J37/J36)^2))^2)),IF(AND(J31=0,I41&lt;=1),((J37/(100*J38))^4)*(((K32/345)^2)+((K33/(58+77*(J37/J36)^2))^2)),IF(AND(J31=1,I41&gt;0.8),((J37/(100*J38))^4)*(((K32/900)^2)+((K33/(120+58*(J37/J36)^2))^2)),IF(AND(J31=1,I41&lt;=0.8),((J37/(100*J38))^4)*(((K32/900)^2)+((K33/(90+77*(J37/J36)^2))^2)),IF(AND(J31=2,I41&gt;0.64),((J37/(100*J38))^4)*(((K32/3000)^2)+((K33/(187+58*(J37/J36)^2))^2)),IF(AND(J31=2,I41&lt;=0.64),((J37/(100*J38))^4)*(((K32/3000)^2)+((K33/(140+77*(J37/J36)^2))^2)))))))),3)</f>
        <v>14.698</v>
      </c>
      <c r="Q43" s="10"/>
      <c r="S43" s="7" t="str">
        <f>IF(P43&lt;=U43,"＜","＞")</f>
        <v>＞</v>
      </c>
      <c r="U43" s="10">
        <v>1</v>
      </c>
      <c r="X43" s="4" t="str">
        <f>IF(P43&lt;=U43,"O.K","N.G")</f>
        <v>N.G</v>
      </c>
    </row>
    <row r="44" spans="2:8" ht="24.75" customHeight="1">
      <c r="B44" s="3" t="s">
        <v>72</v>
      </c>
      <c r="H44" s="49" t="s">
        <v>143</v>
      </c>
    </row>
    <row r="45" spans="3:14" ht="24.75" customHeight="1">
      <c r="C45" s="4" t="s">
        <v>14</v>
      </c>
      <c r="E45" s="4" t="s">
        <v>36</v>
      </c>
      <c r="H45" s="4" t="str">
        <f>"8.0 ("&amp;J37&amp;"/"&amp;J36&amp;")²="</f>
        <v>8.0 (2840/2500)²=</v>
      </c>
      <c r="M45" s="10">
        <f>ROUND(8*(J37/J36)^2,3)</f>
        <v>10.324</v>
      </c>
      <c r="N45" s="10"/>
    </row>
    <row r="46" spans="9:21" ht="24.75" customHeight="1">
      <c r="I46" s="4" t="str">
        <f>"( "&amp;J37&amp;" ×"&amp;J38&amp;"³/ 11 ) ×"&amp;M45&amp;" ="</f>
        <v>( 2840 ×14³/ 11 ) ×10.324 =</v>
      </c>
      <c r="R46" s="20">
        <f>ROUND((J37*J38^3/11)*M45,3)</f>
        <v>7314047.185</v>
      </c>
      <c r="S46" s="11"/>
      <c r="T46" s="11"/>
      <c r="U46" s="3" t="s">
        <v>129</v>
      </c>
    </row>
    <row r="47" spans="17:19" ht="24.75" customHeight="1">
      <c r="Q47" s="11"/>
      <c r="R47" s="11"/>
      <c r="S47" s="11"/>
    </row>
    <row r="48" spans="5:24" ht="24.75" customHeight="1">
      <c r="E48" s="4" t="str">
        <f>"⅓ × "&amp;K35&amp;" × "&amp;K34&amp;"³="</f>
        <v>⅓ × 14 × 180³=</v>
      </c>
      <c r="J48" s="10">
        <f>ROUND(K35*K34^3/3,3)</f>
        <v>27216000</v>
      </c>
      <c r="K48" s="10"/>
      <c r="L48" s="10"/>
      <c r="M48" s="3" t="s">
        <v>51</v>
      </c>
      <c r="O48" s="7" t="str">
        <f>IF(J48&gt;R46,"＞","＜")</f>
        <v>＞</v>
      </c>
      <c r="T48" s="4" t="str">
        <f>IF(J48&gt;R46,"O.K","N.G")</f>
        <v>O.K</v>
      </c>
      <c r="W48" s="12"/>
      <c r="X48" s="12"/>
    </row>
    <row r="49" spans="10:24" ht="24.75" customHeight="1">
      <c r="J49" s="10"/>
      <c r="K49" s="10"/>
      <c r="L49" s="10"/>
      <c r="O49" s="7"/>
      <c r="W49" s="12"/>
      <c r="X49" s="12"/>
    </row>
    <row r="50" ht="24.75" customHeight="1">
      <c r="B50" s="4" t="s">
        <v>73</v>
      </c>
    </row>
    <row r="51" spans="3:22" ht="24.75" customHeight="1">
      <c r="C51" s="4" t="s">
        <v>236</v>
      </c>
      <c r="E51" s="4" t="str">
        <f>J37&amp;" / 30 + 50 ="</f>
        <v>2840 / 30 + 50 =</v>
      </c>
      <c r="I51" s="9">
        <f>ROUND(J37/30+50,3)</f>
        <v>144.667</v>
      </c>
      <c r="J51" s="10"/>
      <c r="K51" s="4" t="s">
        <v>22</v>
      </c>
      <c r="M51" s="7" t="str">
        <f>IF(I51&gt;Q51,"＞","＜")</f>
        <v>＜</v>
      </c>
      <c r="O51" s="4" t="s">
        <v>33</v>
      </c>
      <c r="Q51" s="9">
        <f>K34</f>
        <v>180</v>
      </c>
      <c r="R51" s="9"/>
      <c r="S51" s="4" t="s">
        <v>22</v>
      </c>
      <c r="V51" s="4" t="str">
        <f>IF(Q51&gt;I51,"O.K","N.G")</f>
        <v>O.K</v>
      </c>
    </row>
    <row r="52" ht="24.75" customHeight="1">
      <c r="B52" s="4" t="s">
        <v>103</v>
      </c>
    </row>
    <row r="53" spans="3:22" ht="24.75" customHeight="1">
      <c r="C53" s="4" t="s">
        <v>237</v>
      </c>
      <c r="E53" s="22" t="str">
        <f>K34&amp;" / 13 ="</f>
        <v>180 / 13 =</v>
      </c>
      <c r="H53" s="9">
        <f>ROUND(K34/13,3)</f>
        <v>13.846</v>
      </c>
      <c r="I53" s="10"/>
      <c r="J53" s="4" t="s">
        <v>22</v>
      </c>
      <c r="L53" s="7" t="str">
        <f>IF(H53&gt;P53,"＞","＜")</f>
        <v>＜</v>
      </c>
      <c r="N53" s="4" t="s">
        <v>34</v>
      </c>
      <c r="P53" s="9">
        <f>K35</f>
        <v>14</v>
      </c>
      <c r="Q53" s="9"/>
      <c r="R53" s="4" t="s">
        <v>22</v>
      </c>
      <c r="U53" s="23" t="s">
        <v>8</v>
      </c>
      <c r="V53" s="4" t="str">
        <f>IF(H53&lt;P53,"O.K","N.G")</f>
        <v>O.K</v>
      </c>
    </row>
    <row r="54" spans="5:19" ht="24.75" customHeight="1">
      <c r="E54" s="22"/>
      <c r="H54" s="10"/>
      <c r="I54" s="10"/>
      <c r="L54" s="7"/>
      <c r="P54" s="9"/>
      <c r="Q54" s="9"/>
      <c r="S54" s="23"/>
    </row>
    <row r="55" spans="5:19" ht="24.75" customHeight="1">
      <c r="E55" s="22"/>
      <c r="H55" s="10"/>
      <c r="I55" s="10"/>
      <c r="L55" s="7"/>
      <c r="P55" s="9"/>
      <c r="Q55" s="9"/>
      <c r="S55" s="23"/>
    </row>
  </sheetData>
  <mergeCells count="244">
    <mergeCell ref="BJ42:BL42"/>
    <mergeCell ref="BM42:BO42"/>
    <mergeCell ref="BP42:BR42"/>
    <mergeCell ref="AX42:AZ42"/>
    <mergeCell ref="BA42:BC42"/>
    <mergeCell ref="BD42:BF42"/>
    <mergeCell ref="BG42:BI42"/>
    <mergeCell ref="BJ41:BL41"/>
    <mergeCell ref="BM41:BO41"/>
    <mergeCell ref="BP41:BR41"/>
    <mergeCell ref="AC42:AE42"/>
    <mergeCell ref="AF42:AH42"/>
    <mergeCell ref="AI42:AK42"/>
    <mergeCell ref="AL42:AN42"/>
    <mergeCell ref="AO42:AQ42"/>
    <mergeCell ref="AR42:AT42"/>
    <mergeCell ref="AU42:AW42"/>
    <mergeCell ref="AX41:AZ41"/>
    <mergeCell ref="BA41:BC41"/>
    <mergeCell ref="BD41:BF41"/>
    <mergeCell ref="BG41:BI41"/>
    <mergeCell ref="BJ40:BL40"/>
    <mergeCell ref="BM40:BO40"/>
    <mergeCell ref="BP40:BR40"/>
    <mergeCell ref="AC41:AE41"/>
    <mergeCell ref="AF41:AH41"/>
    <mergeCell ref="AI41:AK41"/>
    <mergeCell ref="AL41:AN41"/>
    <mergeCell ref="AO41:AQ41"/>
    <mergeCell ref="AR41:AT41"/>
    <mergeCell ref="AU41:AW41"/>
    <mergeCell ref="AX40:AZ40"/>
    <mergeCell ref="BA40:BC40"/>
    <mergeCell ref="BD40:BF40"/>
    <mergeCell ref="BG40:BI40"/>
    <mergeCell ref="BJ39:BL39"/>
    <mergeCell ref="BM39:BO39"/>
    <mergeCell ref="BP39:BR39"/>
    <mergeCell ref="AC40:AE40"/>
    <mergeCell ref="AF40:AH40"/>
    <mergeCell ref="AI40:AK40"/>
    <mergeCell ref="AL40:AN40"/>
    <mergeCell ref="AO40:AQ40"/>
    <mergeCell ref="AR40:AT40"/>
    <mergeCell ref="AU40:AW40"/>
    <mergeCell ref="AX39:AZ39"/>
    <mergeCell ref="BA39:BC39"/>
    <mergeCell ref="BD39:BF39"/>
    <mergeCell ref="BG39:BI39"/>
    <mergeCell ref="BM34:BO34"/>
    <mergeCell ref="BP34:BR34"/>
    <mergeCell ref="AC38:AO38"/>
    <mergeCell ref="AC39:AE39"/>
    <mergeCell ref="AF39:AH39"/>
    <mergeCell ref="AI39:AK39"/>
    <mergeCell ref="AL39:AN39"/>
    <mergeCell ref="AO39:AQ39"/>
    <mergeCell ref="AR39:AT39"/>
    <mergeCell ref="AU39:AW39"/>
    <mergeCell ref="BA34:BC34"/>
    <mergeCell ref="BD34:BF34"/>
    <mergeCell ref="BG34:BI34"/>
    <mergeCell ref="BJ34:BL34"/>
    <mergeCell ref="BM33:BO33"/>
    <mergeCell ref="BP33:BR33"/>
    <mergeCell ref="AC34:AE34"/>
    <mergeCell ref="AF34:AH34"/>
    <mergeCell ref="AI34:AK34"/>
    <mergeCell ref="AL34:AN34"/>
    <mergeCell ref="AO34:AQ34"/>
    <mergeCell ref="AR34:AT34"/>
    <mergeCell ref="AU34:AW34"/>
    <mergeCell ref="AX34:AZ34"/>
    <mergeCell ref="BA33:BC33"/>
    <mergeCell ref="BD33:BF33"/>
    <mergeCell ref="BG33:BI33"/>
    <mergeCell ref="BJ33:BL33"/>
    <mergeCell ref="AO33:AQ33"/>
    <mergeCell ref="AR33:AT33"/>
    <mergeCell ref="AU33:AW33"/>
    <mergeCell ref="AX33:AZ33"/>
    <mergeCell ref="AC33:AE33"/>
    <mergeCell ref="AF33:AH33"/>
    <mergeCell ref="AI33:AK33"/>
    <mergeCell ref="AL33:AN33"/>
    <mergeCell ref="BG32:BI32"/>
    <mergeCell ref="BJ32:BL32"/>
    <mergeCell ref="BM32:BO32"/>
    <mergeCell ref="BP32:BR32"/>
    <mergeCell ref="AU32:AW32"/>
    <mergeCell ref="AX32:AZ32"/>
    <mergeCell ref="BA32:BC32"/>
    <mergeCell ref="BD32:BF32"/>
    <mergeCell ref="BJ31:BL31"/>
    <mergeCell ref="BM31:BO31"/>
    <mergeCell ref="BP31:BR31"/>
    <mergeCell ref="K32:M32"/>
    <mergeCell ref="AC32:AE32"/>
    <mergeCell ref="AF32:AH32"/>
    <mergeCell ref="AI32:AK32"/>
    <mergeCell ref="AL32:AN32"/>
    <mergeCell ref="AO32:AQ32"/>
    <mergeCell ref="AR32:AT32"/>
    <mergeCell ref="AX31:AZ31"/>
    <mergeCell ref="BA31:BC31"/>
    <mergeCell ref="BD31:BF31"/>
    <mergeCell ref="BG31:BI31"/>
    <mergeCell ref="AC31:AE31"/>
    <mergeCell ref="AF31:AH31"/>
    <mergeCell ref="AI31:AK31"/>
    <mergeCell ref="AL31:AN31"/>
    <mergeCell ref="AO31:AQ31"/>
    <mergeCell ref="BP16:BR16"/>
    <mergeCell ref="BM16:BO16"/>
    <mergeCell ref="AR7:AT7"/>
    <mergeCell ref="BG13:BI13"/>
    <mergeCell ref="BJ13:BL13"/>
    <mergeCell ref="BM13:BO13"/>
    <mergeCell ref="AR13:AT13"/>
    <mergeCell ref="AR31:AT31"/>
    <mergeCell ref="AU31:AW31"/>
    <mergeCell ref="AC16:AE16"/>
    <mergeCell ref="AF16:AH16"/>
    <mergeCell ref="AO5:AQ5"/>
    <mergeCell ref="AO6:AQ6"/>
    <mergeCell ref="BD16:BF16"/>
    <mergeCell ref="BG16:BI16"/>
    <mergeCell ref="BJ16:BL16"/>
    <mergeCell ref="AR16:AT16"/>
    <mergeCell ref="AU16:AW16"/>
    <mergeCell ref="AX16:AZ16"/>
    <mergeCell ref="BA16:BC16"/>
    <mergeCell ref="AI16:AK16"/>
    <mergeCell ref="AL16:AN16"/>
    <mergeCell ref="I4:L4"/>
    <mergeCell ref="AL13:AN13"/>
    <mergeCell ref="AC12:AO12"/>
    <mergeCell ref="AO7:AQ7"/>
    <mergeCell ref="AO8:AQ8"/>
    <mergeCell ref="AC6:AE6"/>
    <mergeCell ref="AF6:AH6"/>
    <mergeCell ref="AI6:AK6"/>
    <mergeCell ref="AU13:AW13"/>
    <mergeCell ref="AX13:AZ13"/>
    <mergeCell ref="BA13:BC13"/>
    <mergeCell ref="BD13:BF13"/>
    <mergeCell ref="BD14:BF14"/>
    <mergeCell ref="AR15:AT15"/>
    <mergeCell ref="AU15:AW15"/>
    <mergeCell ref="AX15:AZ15"/>
    <mergeCell ref="BA15:BC15"/>
    <mergeCell ref="AR14:AT14"/>
    <mergeCell ref="AU14:AW14"/>
    <mergeCell ref="AX14:AZ14"/>
    <mergeCell ref="BA14:BC14"/>
    <mergeCell ref="BP13:BR13"/>
    <mergeCell ref="BD15:BF15"/>
    <mergeCell ref="BG15:BI15"/>
    <mergeCell ref="BJ15:BL15"/>
    <mergeCell ref="BM15:BO15"/>
    <mergeCell ref="BP15:BR15"/>
    <mergeCell ref="BG14:BI14"/>
    <mergeCell ref="BJ14:BL14"/>
    <mergeCell ref="BM14:BO14"/>
    <mergeCell ref="BP14:BR14"/>
    <mergeCell ref="BM8:BO8"/>
    <mergeCell ref="BP8:BR8"/>
    <mergeCell ref="I30:L30"/>
    <mergeCell ref="AC30:AM30"/>
    <mergeCell ref="BA8:BC8"/>
    <mergeCell ref="BD8:BF8"/>
    <mergeCell ref="BG8:BI8"/>
    <mergeCell ref="BJ8:BL8"/>
    <mergeCell ref="AO16:AQ16"/>
    <mergeCell ref="AC15:AE15"/>
    <mergeCell ref="BJ7:BL7"/>
    <mergeCell ref="BM7:BO7"/>
    <mergeCell ref="BP7:BR7"/>
    <mergeCell ref="AC8:AE8"/>
    <mergeCell ref="AF8:AH8"/>
    <mergeCell ref="AI8:AK8"/>
    <mergeCell ref="AL8:AN8"/>
    <mergeCell ref="AR8:AT8"/>
    <mergeCell ref="AU8:AW8"/>
    <mergeCell ref="AX8:AZ8"/>
    <mergeCell ref="AU7:AW7"/>
    <mergeCell ref="AX7:AZ7"/>
    <mergeCell ref="BA7:BC7"/>
    <mergeCell ref="BG6:BI6"/>
    <mergeCell ref="BD6:BF6"/>
    <mergeCell ref="BD7:BF7"/>
    <mergeCell ref="BG7:BI7"/>
    <mergeCell ref="BA6:BC6"/>
    <mergeCell ref="BJ6:BL6"/>
    <mergeCell ref="BM6:BO6"/>
    <mergeCell ref="BP6:BR6"/>
    <mergeCell ref="BP5:BR5"/>
    <mergeCell ref="AL6:AN6"/>
    <mergeCell ref="AR6:AT6"/>
    <mergeCell ref="AU6:AW6"/>
    <mergeCell ref="AX6:AZ6"/>
    <mergeCell ref="BD5:BF5"/>
    <mergeCell ref="BG5:BI5"/>
    <mergeCell ref="BJ5:BL5"/>
    <mergeCell ref="BM5:BO5"/>
    <mergeCell ref="AR5:AT5"/>
    <mergeCell ref="AU5:AW5"/>
    <mergeCell ref="AX5:AZ5"/>
    <mergeCell ref="BA5:BC5"/>
    <mergeCell ref="AC4:AM4"/>
    <mergeCell ref="AC5:AE5"/>
    <mergeCell ref="AF5:AH5"/>
    <mergeCell ref="AI5:AK5"/>
    <mergeCell ref="AL5:AN5"/>
    <mergeCell ref="AC7:AE7"/>
    <mergeCell ref="AF7:AH7"/>
    <mergeCell ref="AI7:AK7"/>
    <mergeCell ref="AL7:AN7"/>
    <mergeCell ref="AF15:AH15"/>
    <mergeCell ref="AI15:AK15"/>
    <mergeCell ref="AL15:AN15"/>
    <mergeCell ref="AC14:AE14"/>
    <mergeCell ref="K6:M6"/>
    <mergeCell ref="AO13:AQ13"/>
    <mergeCell ref="AO14:AQ14"/>
    <mergeCell ref="AO15:AQ15"/>
    <mergeCell ref="AF14:AH14"/>
    <mergeCell ref="AI14:AK14"/>
    <mergeCell ref="AL14:AN14"/>
    <mergeCell ref="AC13:AE13"/>
    <mergeCell ref="AF13:AH13"/>
    <mergeCell ref="AI13:AK13"/>
    <mergeCell ref="J11:K11"/>
    <mergeCell ref="J12:K12"/>
    <mergeCell ref="K7:M7"/>
    <mergeCell ref="K8:L8"/>
    <mergeCell ref="K9:L9"/>
    <mergeCell ref="J10:K10"/>
    <mergeCell ref="J37:K37"/>
    <mergeCell ref="J38:K38"/>
    <mergeCell ref="K33:M33"/>
    <mergeCell ref="K34:L34"/>
    <mergeCell ref="K35:L35"/>
    <mergeCell ref="J36:K36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7"/>
  <headerFooter alignWithMargins="0">
    <oddHeader>&amp;R
</oddHeader>
  </headerFooter>
  <drawing r:id="rId6"/>
  <legacyDrawing r:id="rId5"/>
  <oleObjects>
    <oleObject progId="HunEquation" shapeId="1658300" r:id="rId1"/>
    <oleObject progId="HunEquation" shapeId="1658301" r:id="rId2"/>
    <oleObject progId="HunEquation" shapeId="775824" r:id="rId3"/>
    <oleObject progId="HunEquation" shapeId="77582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BR57"/>
  <sheetViews>
    <sheetView showGridLines="0" zoomScaleSheetLayoutView="100" workbookViewId="0" topLeftCell="A1">
      <selection activeCell="A1" sqref="A1:IV16384"/>
    </sheetView>
  </sheetViews>
  <sheetFormatPr defaultColWidth="8.88671875" defaultRowHeight="24.75" customHeight="1"/>
  <cols>
    <col min="1" max="27" width="2.88671875" style="4" customWidth="1"/>
    <col min="28" max="28" width="2.88671875" style="6" customWidth="1"/>
    <col min="29" max="70" width="1.77734375" style="6" customWidth="1"/>
    <col min="71" max="16384" width="2.88671875" style="6" customWidth="1"/>
  </cols>
  <sheetData>
    <row r="1" spans="1:27" s="2" customFormat="1" ht="24.75" customHeight="1">
      <c r="A1" s="105" t="s">
        <v>238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70" ht="24.75" customHeight="1">
      <c r="A2" s="18" t="s">
        <v>102</v>
      </c>
      <c r="H2" s="5" t="s">
        <v>239</v>
      </c>
      <c r="I2" s="106" t="s">
        <v>38</v>
      </c>
      <c r="J2" s="106"/>
      <c r="K2" s="106"/>
      <c r="L2" s="106"/>
      <c r="M2" s="3" t="s">
        <v>240</v>
      </c>
      <c r="N2" s="5"/>
      <c r="R2" s="6"/>
      <c r="S2" s="6"/>
      <c r="T2" s="6"/>
      <c r="U2" s="6"/>
      <c r="V2" s="6"/>
      <c r="W2" s="6"/>
      <c r="X2" s="6"/>
      <c r="Y2" s="6"/>
      <c r="Z2" s="6"/>
      <c r="AA2" s="6"/>
      <c r="AC2" s="60" t="s">
        <v>241</v>
      </c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7"/>
      <c r="BQ2" s="17"/>
      <c r="BR2" s="17"/>
    </row>
    <row r="3" spans="2:70" ht="24.75" customHeight="1">
      <c r="B3" s="4" t="s">
        <v>242</v>
      </c>
      <c r="H3" s="4" t="s">
        <v>7</v>
      </c>
      <c r="I3" s="4" t="s">
        <v>243</v>
      </c>
      <c r="J3" s="108">
        <v>0</v>
      </c>
      <c r="AB3" s="4"/>
      <c r="AC3" s="63">
        <f>IF(J11&lt;=40,2,IF(J11&lt;=75,3,4))</f>
        <v>2</v>
      </c>
      <c r="AD3" s="64"/>
      <c r="AE3" s="65"/>
      <c r="AF3" s="66" t="s">
        <v>37</v>
      </c>
      <c r="AG3" s="67"/>
      <c r="AH3" s="68"/>
      <c r="AI3" s="66" t="s">
        <v>38</v>
      </c>
      <c r="AJ3" s="67"/>
      <c r="AK3" s="68"/>
      <c r="AL3" s="66" t="s">
        <v>39</v>
      </c>
      <c r="AM3" s="67"/>
      <c r="AN3" s="68"/>
      <c r="AO3" s="66" t="s">
        <v>40</v>
      </c>
      <c r="AP3" s="67"/>
      <c r="AQ3" s="68"/>
      <c r="AR3" s="66" t="s">
        <v>23</v>
      </c>
      <c r="AS3" s="67"/>
      <c r="AT3" s="68"/>
      <c r="AU3" s="109" t="s">
        <v>41</v>
      </c>
      <c r="AV3" s="110"/>
      <c r="AW3" s="111"/>
      <c r="AX3" s="66" t="s">
        <v>32</v>
      </c>
      <c r="AY3" s="67"/>
      <c r="AZ3" s="68"/>
      <c r="BA3" s="66" t="s">
        <v>42</v>
      </c>
      <c r="BB3" s="67"/>
      <c r="BC3" s="68"/>
      <c r="BD3" s="66" t="s">
        <v>43</v>
      </c>
      <c r="BE3" s="67"/>
      <c r="BF3" s="68"/>
      <c r="BG3" s="109" t="s">
        <v>44</v>
      </c>
      <c r="BH3" s="110"/>
      <c r="BI3" s="111"/>
      <c r="BJ3" s="66" t="s">
        <v>45</v>
      </c>
      <c r="BK3" s="67"/>
      <c r="BL3" s="68"/>
      <c r="BM3" s="66" t="s">
        <v>46</v>
      </c>
      <c r="BN3" s="67"/>
      <c r="BO3" s="68"/>
      <c r="BP3" s="109" t="s">
        <v>47</v>
      </c>
      <c r="BQ3" s="110"/>
      <c r="BR3" s="111"/>
    </row>
    <row r="4" spans="2:70" ht="24.75" customHeight="1">
      <c r="B4" s="4" t="s">
        <v>244</v>
      </c>
      <c r="K4" s="4" t="s">
        <v>7</v>
      </c>
      <c r="L4" s="4" t="s">
        <v>245</v>
      </c>
      <c r="N4" s="116">
        <v>-114.116</v>
      </c>
      <c r="O4" s="117"/>
      <c r="P4" s="4" t="s">
        <v>246</v>
      </c>
      <c r="T4" s="4" t="s">
        <v>247</v>
      </c>
      <c r="V4" s="116">
        <v>109.202</v>
      </c>
      <c r="W4" s="117"/>
      <c r="X4" s="4" t="s">
        <v>248</v>
      </c>
      <c r="AB4" s="4"/>
      <c r="AC4" s="113">
        <v>40</v>
      </c>
      <c r="AD4" s="113"/>
      <c r="AE4" s="113"/>
      <c r="AF4" s="63">
        <v>140</v>
      </c>
      <c r="AG4" s="64"/>
      <c r="AH4" s="65"/>
      <c r="AI4" s="63">
        <v>140</v>
      </c>
      <c r="AJ4" s="64"/>
      <c r="AK4" s="65"/>
      <c r="AL4" s="63">
        <v>140</v>
      </c>
      <c r="AM4" s="64"/>
      <c r="AN4" s="65"/>
      <c r="AO4" s="63">
        <v>140</v>
      </c>
      <c r="AP4" s="64"/>
      <c r="AQ4" s="65"/>
      <c r="AR4" s="63">
        <v>185</v>
      </c>
      <c r="AS4" s="64"/>
      <c r="AT4" s="65"/>
      <c r="AU4" s="63">
        <v>185</v>
      </c>
      <c r="AV4" s="64"/>
      <c r="AW4" s="65"/>
      <c r="AX4" s="63">
        <v>210</v>
      </c>
      <c r="AY4" s="64"/>
      <c r="AZ4" s="65"/>
      <c r="BA4" s="63">
        <v>210</v>
      </c>
      <c r="BB4" s="64"/>
      <c r="BC4" s="65"/>
      <c r="BD4" s="63">
        <v>210</v>
      </c>
      <c r="BE4" s="64"/>
      <c r="BF4" s="65"/>
      <c r="BG4" s="63">
        <v>210</v>
      </c>
      <c r="BH4" s="64"/>
      <c r="BI4" s="65"/>
      <c r="BJ4" s="63">
        <v>255</v>
      </c>
      <c r="BK4" s="64"/>
      <c r="BL4" s="65"/>
      <c r="BM4" s="63">
        <v>255</v>
      </c>
      <c r="BN4" s="64"/>
      <c r="BO4" s="65"/>
      <c r="BP4" s="63">
        <v>255</v>
      </c>
      <c r="BQ4" s="64"/>
      <c r="BR4" s="65"/>
    </row>
    <row r="5" spans="2:70" ht="24.75" customHeight="1">
      <c r="B5" s="4" t="s">
        <v>249</v>
      </c>
      <c r="K5" s="4" t="s">
        <v>7</v>
      </c>
      <c r="L5" s="4" t="s">
        <v>245</v>
      </c>
      <c r="N5" s="116">
        <v>-116.054</v>
      </c>
      <c r="O5" s="117"/>
      <c r="P5" s="4" t="s">
        <v>246</v>
      </c>
      <c r="T5" s="4" t="s">
        <v>247</v>
      </c>
      <c r="V5" s="116">
        <v>116.054</v>
      </c>
      <c r="W5" s="117"/>
      <c r="X5" s="4" t="s">
        <v>248</v>
      </c>
      <c r="AB5" s="4"/>
      <c r="AC5" s="115" t="s">
        <v>48</v>
      </c>
      <c r="AD5" s="115"/>
      <c r="AE5" s="115"/>
      <c r="AF5" s="63">
        <v>125</v>
      </c>
      <c r="AG5" s="64"/>
      <c r="AH5" s="65"/>
      <c r="AI5" s="63">
        <v>125</v>
      </c>
      <c r="AJ5" s="64"/>
      <c r="AK5" s="65"/>
      <c r="AL5" s="63">
        <v>125</v>
      </c>
      <c r="AM5" s="64"/>
      <c r="AN5" s="65"/>
      <c r="AO5" s="63">
        <v>140</v>
      </c>
      <c r="AP5" s="64"/>
      <c r="AQ5" s="65"/>
      <c r="AR5" s="63">
        <v>175</v>
      </c>
      <c r="AS5" s="64"/>
      <c r="AT5" s="65"/>
      <c r="AU5" s="63">
        <v>185</v>
      </c>
      <c r="AV5" s="64"/>
      <c r="AW5" s="65"/>
      <c r="AX5" s="63">
        <v>195</v>
      </c>
      <c r="AY5" s="64"/>
      <c r="AZ5" s="65"/>
      <c r="BA5" s="63">
        <v>195</v>
      </c>
      <c r="BB5" s="64"/>
      <c r="BC5" s="65"/>
      <c r="BD5" s="63">
        <v>195</v>
      </c>
      <c r="BE5" s="64"/>
      <c r="BF5" s="65"/>
      <c r="BG5" s="63">
        <v>210</v>
      </c>
      <c r="BH5" s="64"/>
      <c r="BI5" s="65"/>
      <c r="BJ5" s="63">
        <v>245</v>
      </c>
      <c r="BK5" s="64"/>
      <c r="BL5" s="65"/>
      <c r="BM5" s="63">
        <v>245</v>
      </c>
      <c r="BN5" s="64"/>
      <c r="BO5" s="65"/>
      <c r="BP5" s="63">
        <v>255</v>
      </c>
      <c r="BQ5" s="64"/>
      <c r="BR5" s="65"/>
    </row>
    <row r="6" spans="2:70" ht="24.75" customHeight="1">
      <c r="B6" s="4" t="s">
        <v>250</v>
      </c>
      <c r="H6" s="4" t="s">
        <v>7</v>
      </c>
      <c r="I6" s="4" t="s">
        <v>251</v>
      </c>
      <c r="K6" s="112">
        <v>284.869</v>
      </c>
      <c r="L6" s="114"/>
      <c r="M6" s="114"/>
      <c r="N6" s="10"/>
      <c r="AB6" s="4"/>
      <c r="AC6" s="115" t="s">
        <v>49</v>
      </c>
      <c r="AD6" s="115"/>
      <c r="AE6" s="115"/>
      <c r="AF6" s="63">
        <v>125</v>
      </c>
      <c r="AG6" s="64"/>
      <c r="AH6" s="65"/>
      <c r="AI6" s="63">
        <v>125</v>
      </c>
      <c r="AJ6" s="64"/>
      <c r="AK6" s="65"/>
      <c r="AL6" s="63">
        <v>125</v>
      </c>
      <c r="AM6" s="64"/>
      <c r="AN6" s="65"/>
      <c r="AO6" s="63">
        <v>140</v>
      </c>
      <c r="AP6" s="64"/>
      <c r="AQ6" s="65"/>
      <c r="AR6" s="63">
        <v>175</v>
      </c>
      <c r="AS6" s="64"/>
      <c r="AT6" s="65"/>
      <c r="AU6" s="63">
        <v>185</v>
      </c>
      <c r="AV6" s="64"/>
      <c r="AW6" s="65"/>
      <c r="AX6" s="63">
        <v>190</v>
      </c>
      <c r="AY6" s="64"/>
      <c r="AZ6" s="65"/>
      <c r="BA6" s="63">
        <v>190</v>
      </c>
      <c r="BB6" s="64"/>
      <c r="BC6" s="65"/>
      <c r="BD6" s="63">
        <v>190</v>
      </c>
      <c r="BE6" s="64"/>
      <c r="BF6" s="65"/>
      <c r="BG6" s="63">
        <v>210</v>
      </c>
      <c r="BH6" s="64"/>
      <c r="BI6" s="65"/>
      <c r="BJ6" s="63">
        <v>240</v>
      </c>
      <c r="BK6" s="64"/>
      <c r="BL6" s="65"/>
      <c r="BM6" s="63">
        <v>240</v>
      </c>
      <c r="BN6" s="64"/>
      <c r="BO6" s="65"/>
      <c r="BP6" s="63">
        <v>255</v>
      </c>
      <c r="BQ6" s="64"/>
      <c r="BR6" s="65"/>
    </row>
    <row r="7" spans="2:13" ht="24.75" customHeight="1">
      <c r="B7" s="4" t="s">
        <v>252</v>
      </c>
      <c r="H7" s="4" t="s">
        <v>7</v>
      </c>
      <c r="I7" s="4" t="s">
        <v>27</v>
      </c>
      <c r="K7" s="116">
        <v>180</v>
      </c>
      <c r="L7" s="117"/>
      <c r="M7" s="4" t="s">
        <v>22</v>
      </c>
    </row>
    <row r="8" spans="2:13" ht="24.75" customHeight="1">
      <c r="B8" s="4" t="s">
        <v>253</v>
      </c>
      <c r="H8" s="4" t="s">
        <v>7</v>
      </c>
      <c r="I8" s="4" t="s">
        <v>28</v>
      </c>
      <c r="K8" s="116">
        <v>14</v>
      </c>
      <c r="L8" s="117"/>
      <c r="M8" s="4" t="s">
        <v>22</v>
      </c>
    </row>
    <row r="9" spans="2:28" ht="24.75" customHeight="1">
      <c r="B9" s="4" t="s">
        <v>254</v>
      </c>
      <c r="H9" s="4" t="s">
        <v>7</v>
      </c>
      <c r="I9" s="4" t="s">
        <v>11</v>
      </c>
      <c r="J9" s="118">
        <v>2500</v>
      </c>
      <c r="K9" s="119"/>
      <c r="L9" s="4" t="s">
        <v>22</v>
      </c>
      <c r="AB9" s="4"/>
    </row>
    <row r="10" spans="2:39" ht="24.75" customHeight="1">
      <c r="B10" s="4" t="s">
        <v>50</v>
      </c>
      <c r="H10" s="4" t="s">
        <v>7</v>
      </c>
      <c r="I10" s="4" t="s">
        <v>12</v>
      </c>
      <c r="J10" s="118">
        <v>2850</v>
      </c>
      <c r="K10" s="119"/>
      <c r="L10" s="4" t="s">
        <v>22</v>
      </c>
      <c r="U10" s="49" t="str">
        <f>IF(J3=3,"","[道示Ⅱ 10.4.2]")</f>
        <v>[道示Ⅱ 10.4.2]</v>
      </c>
      <c r="Y10" s="10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2:67" ht="24.75" customHeight="1">
      <c r="B11" s="23" t="s">
        <v>52</v>
      </c>
      <c r="G11" s="12"/>
      <c r="H11" s="4" t="s">
        <v>7</v>
      </c>
      <c r="I11" s="4" t="s">
        <v>9</v>
      </c>
      <c r="J11" s="116">
        <v>14</v>
      </c>
      <c r="K11" s="117"/>
      <c r="L11" s="4" t="s">
        <v>22</v>
      </c>
      <c r="M11" s="18" t="str">
        <f>IF(J3=3,"",IF(J11&gt;=W11," ≥","＜ "))</f>
        <v>＜ </v>
      </c>
      <c r="N11" s="4" t="str">
        <f>IF(J3=3,"","twmin = b /(")</f>
        <v>twmin = b /(</v>
      </c>
      <c r="Q11" s="4">
        <f>IF(J3=3,"",HLOOKUP(I2,AF12:BR15,AC12,FALSE))</f>
        <v>152</v>
      </c>
      <c r="R11" s="7" t="str">
        <f>IF(J3=3,"","×")</f>
        <v>×</v>
      </c>
      <c r="S11" s="13">
        <f>IF(J3=3,"",Y12)</f>
        <v>1.098</v>
      </c>
      <c r="T11" s="13"/>
      <c r="U11" s="4" t="str">
        <f>IF(J3=3,"",")")</f>
        <v>)</v>
      </c>
      <c r="V11" s="7" t="str">
        <f>IF(J3=3,"","=")</f>
        <v>=</v>
      </c>
      <c r="W11" s="127">
        <f>IF(J3=3,"",J10/(Q11*S11))</f>
        <v>17.076502732240435</v>
      </c>
      <c r="X11" s="127"/>
      <c r="Y11" s="4" t="str">
        <f>IF(J3=3,"","mm")</f>
        <v>mm</v>
      </c>
      <c r="Z11" s="4" t="str">
        <f>IF(J3=3,"",IF(J11&gt;=W11,"O.K.","N.G."))</f>
        <v>N.G.</v>
      </c>
      <c r="AB11" s="4"/>
      <c r="AC11" s="60" t="s">
        <v>53</v>
      </c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</row>
    <row r="12" spans="7:70" ht="24.75" customHeight="1">
      <c r="G12" s="12"/>
      <c r="I12" s="18" t="str">
        <f>IF(J3=3,"","ここに,")</f>
        <v>ここに,</v>
      </c>
      <c r="K12" s="4" t="str">
        <f>IF(J3=3,"","√(σca/σc) = √("&amp;HLOOKUP(I2,AF3:BR6,AC3,FALSE)&amp;"/"&amp;MAX(ABS(N4),ABS(N5))&amp;") =")</f>
        <v>√(σca/σc) = √(140/116.054) =</v>
      </c>
      <c r="P12" s="8"/>
      <c r="Q12" s="7"/>
      <c r="S12" s="13">
        <f>IF(J3=3,"",SQRT(HLOOKUP(I2,AF3:BR6,AC3,FALSE)/MAX(ABS(N4),ABS(N5))))</f>
        <v>1.0983328193180526</v>
      </c>
      <c r="T12" s="25"/>
      <c r="U12" s="4" t="str">
        <f>IF(J3=3,"",IF(S12&gt;1.2,"＞","＜"))</f>
        <v>＜</v>
      </c>
      <c r="V12" s="4">
        <f>IF(J3=3,"",1.2)</f>
        <v>1.2</v>
      </c>
      <c r="X12" s="4" t="str">
        <f>IF(J3=3,"","⇒")</f>
        <v>⇒</v>
      </c>
      <c r="Y12" s="10">
        <f>IF(J3=3,"",IF(S12&gt;1.2,1.2,ROUND(S12,3)))</f>
        <v>1.098</v>
      </c>
      <c r="Z12" s="10"/>
      <c r="AB12" s="4"/>
      <c r="AC12" s="63">
        <f>J3+2</f>
        <v>2</v>
      </c>
      <c r="AD12" s="64"/>
      <c r="AE12" s="65"/>
      <c r="AF12" s="66" t="s">
        <v>54</v>
      </c>
      <c r="AG12" s="67"/>
      <c r="AH12" s="68"/>
      <c r="AI12" s="66" t="s">
        <v>55</v>
      </c>
      <c r="AJ12" s="67"/>
      <c r="AK12" s="68"/>
      <c r="AL12" s="66" t="s">
        <v>56</v>
      </c>
      <c r="AM12" s="67"/>
      <c r="AN12" s="68"/>
      <c r="AO12" s="66" t="s">
        <v>57</v>
      </c>
      <c r="AP12" s="67"/>
      <c r="AQ12" s="68"/>
      <c r="AR12" s="66" t="s">
        <v>23</v>
      </c>
      <c r="AS12" s="67"/>
      <c r="AT12" s="68"/>
      <c r="AU12" s="109" t="s">
        <v>58</v>
      </c>
      <c r="AV12" s="110"/>
      <c r="AW12" s="111"/>
      <c r="AX12" s="66" t="s">
        <v>59</v>
      </c>
      <c r="AY12" s="67"/>
      <c r="AZ12" s="68"/>
      <c r="BA12" s="66" t="s">
        <v>60</v>
      </c>
      <c r="BB12" s="67"/>
      <c r="BC12" s="68"/>
      <c r="BD12" s="66" t="s">
        <v>61</v>
      </c>
      <c r="BE12" s="67"/>
      <c r="BF12" s="68"/>
      <c r="BG12" s="109" t="s">
        <v>62</v>
      </c>
      <c r="BH12" s="110"/>
      <c r="BI12" s="111"/>
      <c r="BJ12" s="66" t="s">
        <v>63</v>
      </c>
      <c r="BK12" s="67"/>
      <c r="BL12" s="68"/>
      <c r="BM12" s="66" t="s">
        <v>64</v>
      </c>
      <c r="BN12" s="67"/>
      <c r="BO12" s="68"/>
      <c r="BP12" s="109" t="s">
        <v>65</v>
      </c>
      <c r="BQ12" s="110"/>
      <c r="BR12" s="111"/>
    </row>
    <row r="13" spans="2:70" ht="24.75" customHeight="1">
      <c r="B13" s="4" t="s">
        <v>66</v>
      </c>
      <c r="H13" s="49" t="s">
        <v>142</v>
      </c>
      <c r="AB13" s="4"/>
      <c r="AC13" s="120" t="s">
        <v>67</v>
      </c>
      <c r="AD13" s="121"/>
      <c r="AE13" s="122"/>
      <c r="AF13" s="65">
        <v>152</v>
      </c>
      <c r="AG13" s="113"/>
      <c r="AH13" s="113"/>
      <c r="AI13" s="65">
        <v>152</v>
      </c>
      <c r="AJ13" s="113"/>
      <c r="AK13" s="113"/>
      <c r="AL13" s="65">
        <v>152</v>
      </c>
      <c r="AM13" s="113"/>
      <c r="AN13" s="113"/>
      <c r="AO13" s="65">
        <v>152</v>
      </c>
      <c r="AP13" s="113"/>
      <c r="AQ13" s="113"/>
      <c r="AR13" s="65">
        <v>130</v>
      </c>
      <c r="AS13" s="113"/>
      <c r="AT13" s="113"/>
      <c r="AU13" s="65">
        <v>130</v>
      </c>
      <c r="AV13" s="113"/>
      <c r="AW13" s="113"/>
      <c r="AX13" s="65">
        <v>123</v>
      </c>
      <c r="AY13" s="113"/>
      <c r="AZ13" s="113"/>
      <c r="BA13" s="65">
        <v>123</v>
      </c>
      <c r="BB13" s="113"/>
      <c r="BC13" s="113"/>
      <c r="BD13" s="65">
        <v>123</v>
      </c>
      <c r="BE13" s="113"/>
      <c r="BF13" s="113"/>
      <c r="BG13" s="65">
        <v>123</v>
      </c>
      <c r="BH13" s="113"/>
      <c r="BI13" s="113"/>
      <c r="BJ13" s="65">
        <v>110</v>
      </c>
      <c r="BK13" s="113"/>
      <c r="BL13" s="113"/>
      <c r="BM13" s="65">
        <v>110</v>
      </c>
      <c r="BN13" s="113"/>
      <c r="BO13" s="113"/>
      <c r="BP13" s="65">
        <v>110</v>
      </c>
      <c r="BQ13" s="113"/>
      <c r="BR13" s="113"/>
    </row>
    <row r="14" spans="3:70" ht="24.75" customHeight="1">
      <c r="C14" s="4" t="str">
        <f>"a / b = "&amp;J9&amp;" / "&amp;J10&amp;"  ="</f>
        <v>a / b = 2500 / 2850  =</v>
      </c>
      <c r="I14" s="11">
        <f>ROUND(J9/J10,3)</f>
        <v>0.877</v>
      </c>
      <c r="J14" s="10"/>
      <c r="K14" s="7" t="str">
        <f>IF(I14&lt;=M14,"≤","＞")</f>
        <v>≤</v>
      </c>
      <c r="M14" s="128">
        <v>1.5</v>
      </c>
      <c r="P14" s="4" t="str">
        <f>IF(I14&lt;=M14,"O.K","N.G")</f>
        <v>O.K</v>
      </c>
      <c r="AB14" s="4"/>
      <c r="AC14" s="66" t="s">
        <v>255</v>
      </c>
      <c r="AD14" s="67"/>
      <c r="AE14" s="68"/>
      <c r="AF14" s="65">
        <v>256</v>
      </c>
      <c r="AG14" s="113"/>
      <c r="AH14" s="113"/>
      <c r="AI14" s="113">
        <v>256</v>
      </c>
      <c r="AJ14" s="113"/>
      <c r="AK14" s="113"/>
      <c r="AL14" s="113">
        <v>256</v>
      </c>
      <c r="AM14" s="113"/>
      <c r="AN14" s="113"/>
      <c r="AO14" s="65">
        <v>256</v>
      </c>
      <c r="AP14" s="113"/>
      <c r="AQ14" s="113"/>
      <c r="AR14" s="123">
        <v>220</v>
      </c>
      <c r="AS14" s="123"/>
      <c r="AT14" s="123"/>
      <c r="AU14" s="123">
        <v>220</v>
      </c>
      <c r="AV14" s="123"/>
      <c r="AW14" s="123"/>
      <c r="AX14" s="123">
        <v>209</v>
      </c>
      <c r="AY14" s="123"/>
      <c r="AZ14" s="123"/>
      <c r="BA14" s="65">
        <v>209</v>
      </c>
      <c r="BB14" s="113"/>
      <c r="BC14" s="113"/>
      <c r="BD14" s="65">
        <v>209</v>
      </c>
      <c r="BE14" s="113"/>
      <c r="BF14" s="113"/>
      <c r="BG14" s="65">
        <v>209</v>
      </c>
      <c r="BH14" s="113"/>
      <c r="BI14" s="113"/>
      <c r="BJ14" s="113">
        <v>188</v>
      </c>
      <c r="BK14" s="113"/>
      <c r="BL14" s="113"/>
      <c r="BM14" s="113">
        <v>188</v>
      </c>
      <c r="BN14" s="113"/>
      <c r="BO14" s="113"/>
      <c r="BP14" s="113">
        <v>188</v>
      </c>
      <c r="BQ14" s="113"/>
      <c r="BR14" s="113"/>
    </row>
    <row r="15" spans="2:70" ht="24.75" customHeight="1">
      <c r="B15" s="23" t="s">
        <v>69</v>
      </c>
      <c r="E15" s="4">
        <f>IF(J3=0,"",J3)</f>
      </c>
      <c r="F15" s="4" t="str">
        <f>IF(J3=0,"使わないで","段使って、")</f>
        <v>使わないで</v>
      </c>
      <c r="K15" s="4" t="s">
        <v>13</v>
      </c>
      <c r="L15" s="4" t="str">
        <f>IF(AND(J3=0,I14&gt;1),"＞ 1",IF(AND(J3=0,I14&lt;=1),"≤ 1",IF(AND(J3=1,I14&gt;0.8),"＞ 0.80",IF(AND(J3=1,I14&lt;=0.8),"≤ 0.80",IF(AND(J3=2,I14&gt;0.64),"＞ 0.64",IF(AND(J3=2,I14&lt;=0.64),"≤ 0.64"))))))</f>
        <v>≤ 1</v>
      </c>
      <c r="O15" s="4" t="s">
        <v>35</v>
      </c>
      <c r="AB15" s="4"/>
      <c r="AC15" s="124" t="s">
        <v>256</v>
      </c>
      <c r="AD15" s="125"/>
      <c r="AE15" s="126"/>
      <c r="AF15" s="65">
        <v>310</v>
      </c>
      <c r="AG15" s="113"/>
      <c r="AH15" s="113"/>
      <c r="AI15" s="65">
        <v>310</v>
      </c>
      <c r="AJ15" s="113"/>
      <c r="AK15" s="113"/>
      <c r="AL15" s="65">
        <v>310</v>
      </c>
      <c r="AM15" s="113"/>
      <c r="AN15" s="113"/>
      <c r="AO15" s="65">
        <v>310</v>
      </c>
      <c r="AP15" s="113"/>
      <c r="AQ15" s="113"/>
      <c r="AR15" s="65">
        <v>310</v>
      </c>
      <c r="AS15" s="113"/>
      <c r="AT15" s="113"/>
      <c r="AU15" s="65">
        <v>310</v>
      </c>
      <c r="AV15" s="113"/>
      <c r="AW15" s="113"/>
      <c r="AX15" s="65">
        <v>294</v>
      </c>
      <c r="AY15" s="113"/>
      <c r="AZ15" s="113"/>
      <c r="BA15" s="65">
        <v>294</v>
      </c>
      <c r="BB15" s="113"/>
      <c r="BC15" s="113"/>
      <c r="BD15" s="65">
        <v>294</v>
      </c>
      <c r="BE15" s="113"/>
      <c r="BF15" s="113"/>
      <c r="BG15" s="65">
        <v>294</v>
      </c>
      <c r="BH15" s="113"/>
      <c r="BI15" s="113"/>
      <c r="BJ15" s="65">
        <v>262</v>
      </c>
      <c r="BK15" s="113"/>
      <c r="BL15" s="113"/>
      <c r="BM15" s="65">
        <v>262</v>
      </c>
      <c r="BN15" s="113"/>
      <c r="BO15" s="113"/>
      <c r="BP15" s="65">
        <v>262</v>
      </c>
      <c r="BQ15" s="113"/>
      <c r="BR15" s="113"/>
    </row>
    <row r="16" spans="3:28" ht="24.75" customHeight="1">
      <c r="C16" s="4" t="str">
        <f>IF(AND(J3=0,I14&gt;1),"(b/100t)⁴[(σ/345)²+ { τ / 77 + 58(b/a)²}²]",IF(AND(J3=0,I14&lt;=1),"(b/100t)⁴[(σ/345)²+ { τ / 58 + 77(b/a)²}²]",IF(AND(J3=1,I14&gt;0.8),"(b/100t)⁴[(σ/900)²+ { τ / 120 + 58(b/a)²}²]",IF(AND(J3=1,I14&lt;=0.8),"(b/100t)⁴[(σ/900)²+ { τ / 90 + 77(b/a)²}²]",IF(AND(J3=2,I14&gt;0.64),"(b/100t)⁴[(σ/3000)²+ { τ / 187 + 58(b/a)²}²]",IF(AND(J3=2,I14&lt;=0.64),"(b/100t)⁴[(σ/3000)²+ { τ / 140 + 77(b/a)²}²]"))))))</f>
        <v>(b/100t)⁴[(σ/345)²+ { τ / 58 + 77(b/a)²}²]</v>
      </c>
      <c r="O16" s="4" t="s">
        <v>5</v>
      </c>
      <c r="P16" s="10">
        <f>ROUND(IF(AND(J3=0,I14&gt;1),((J10/(100*J11))^4)*(((I44/345)^2)+((K6/(77+58*(J10/J9)^2))^2)),IF(AND(J3=0,I14&lt;=1),((J10/(100*J11))^4)*(((I44/345)^2)+((K6/(58+77*(J10/J9)^2))^2)),IF(AND(J3=1,I14&gt;0.8),((J10/(100*J11))^4)*(((I44/900)^2)+((K6/(120+58*(J10/J9)^2))^2)),IF(AND(J3=1,I14&lt;=0.8),((J10/(100*J11))^4)*(((I44/900)^2)+((K6/(90+77*(J10/J9)^2))^2)),IF(AND(J3=2,I14&gt;0.64),((J10/(100*J11))^4)*(((I44/3000)^2)+((K6/(187+58*(J10/J9)^2))^2)),IF(AND(J3=2,I14&lt;=0.64),((J10/(100*J11))^4)*(((I44/3000)^2)+((K6/(140+77*(J10/J9)^2))^2)))))))),3)</f>
        <v>57.721</v>
      </c>
      <c r="Q16" s="10"/>
      <c r="S16" s="7" t="str">
        <f>IF(P16&lt;=U16,"＜","＞")</f>
        <v>＞</v>
      </c>
      <c r="U16" s="10">
        <v>1</v>
      </c>
      <c r="X16" s="4" t="str">
        <f>IF(P16&lt;=U16,"O.K","N.G")</f>
        <v>N.G</v>
      </c>
      <c r="AB16" s="4"/>
    </row>
    <row r="17" spans="2:28" ht="24.75" customHeight="1">
      <c r="B17" s="3" t="s">
        <v>72</v>
      </c>
      <c r="H17" s="49" t="s">
        <v>143</v>
      </c>
      <c r="AB17" s="4"/>
    </row>
    <row r="18" spans="3:28" ht="24.75" customHeight="1">
      <c r="C18" s="4" t="s">
        <v>14</v>
      </c>
      <c r="E18" s="4" t="s">
        <v>29</v>
      </c>
      <c r="H18" s="4" t="str">
        <f>"8.0 ("&amp;J10&amp;"/"&amp;J9&amp;")²="</f>
        <v>8.0 (2850/2500)²=</v>
      </c>
      <c r="M18" s="10">
        <f>ROUND(8*(J10/J9)^2,3)</f>
        <v>10.397</v>
      </c>
      <c r="N18" s="10"/>
      <c r="AB18" s="4"/>
    </row>
    <row r="19" spans="9:21" ht="24.75" customHeight="1">
      <c r="I19" s="4" t="str">
        <f>"( "&amp;J10&amp;" ×"&amp;J11&amp;"³/ 11 ) ×"&amp;M18&amp;" ="</f>
        <v>( 2850 ×14³/ 11 ) ×10.397 =</v>
      </c>
      <c r="R19" s="20">
        <f>ROUND((J10*J11^3/11)*M18,3)</f>
        <v>7391699.891</v>
      </c>
      <c r="S19" s="11"/>
      <c r="T19" s="11"/>
      <c r="U19" s="3" t="s">
        <v>51</v>
      </c>
    </row>
    <row r="20" spans="17:19" ht="24.75" customHeight="1">
      <c r="Q20" s="11"/>
      <c r="R20" s="11"/>
      <c r="S20" s="11"/>
    </row>
    <row r="21" spans="5:24" ht="24.75" customHeight="1">
      <c r="E21" s="4" t="str">
        <f>"⅓ × "&amp;K8&amp;" × "&amp;K7&amp;"³="</f>
        <v>⅓ × 14 × 180³=</v>
      </c>
      <c r="J21" s="10">
        <f>ROUND(K8*K7^3/3,3)</f>
        <v>27216000</v>
      </c>
      <c r="K21" s="10"/>
      <c r="L21" s="10"/>
      <c r="M21" s="3" t="s">
        <v>51</v>
      </c>
      <c r="O21" s="7" t="str">
        <f>IF(J21&gt;R19,"＞","＜")</f>
        <v>＞</v>
      </c>
      <c r="T21" s="4" t="str">
        <f>IF(J21&gt;R19,"O.K","N.G")</f>
        <v>O.K</v>
      </c>
      <c r="W21" s="12"/>
      <c r="X21" s="12"/>
    </row>
    <row r="22" spans="10:24" ht="24.75" customHeight="1">
      <c r="J22" s="10"/>
      <c r="K22" s="10"/>
      <c r="L22" s="10"/>
      <c r="O22" s="7"/>
      <c r="W22" s="12"/>
      <c r="X22" s="12"/>
    </row>
    <row r="23" ht="24.75" customHeight="1">
      <c r="B23" s="4" t="s">
        <v>73</v>
      </c>
    </row>
    <row r="24" spans="3:22" ht="24.75" customHeight="1">
      <c r="C24" s="4" t="s">
        <v>30</v>
      </c>
      <c r="E24" s="4" t="str">
        <f>J10&amp;" / 30 + 50 ="</f>
        <v>2850 / 30 + 50 =</v>
      </c>
      <c r="I24" s="9">
        <f>ROUND(J10/30+50,3)</f>
        <v>145</v>
      </c>
      <c r="J24" s="10"/>
      <c r="K24" s="4" t="s">
        <v>22</v>
      </c>
      <c r="M24" s="7" t="str">
        <f>IF(I24&gt;Q24,"＞","＜")</f>
        <v>＜</v>
      </c>
      <c r="O24" s="4" t="s">
        <v>27</v>
      </c>
      <c r="Q24" s="9">
        <f>K7</f>
        <v>180</v>
      </c>
      <c r="R24" s="9"/>
      <c r="S24" s="4" t="s">
        <v>22</v>
      </c>
      <c r="V24" s="4" t="str">
        <f>IF(Q24&gt;I24,"O.K","N.G")</f>
        <v>O.K</v>
      </c>
    </row>
    <row r="25" ht="24.75" customHeight="1">
      <c r="B25" s="4" t="s">
        <v>103</v>
      </c>
    </row>
    <row r="26" spans="3:22" ht="24.75" customHeight="1">
      <c r="C26" s="4" t="s">
        <v>31</v>
      </c>
      <c r="E26" s="22" t="str">
        <f>K7&amp;" / 13 ="</f>
        <v>180 / 13 =</v>
      </c>
      <c r="H26" s="9">
        <f>ROUND(K7/13,3)</f>
        <v>13.846</v>
      </c>
      <c r="I26" s="10"/>
      <c r="J26" s="4" t="s">
        <v>22</v>
      </c>
      <c r="L26" s="7" t="str">
        <f>IF(H26&gt;P26,"＞","＜")</f>
        <v>＜</v>
      </c>
      <c r="N26" s="4" t="s">
        <v>28</v>
      </c>
      <c r="P26" s="9">
        <f>K8</f>
        <v>14</v>
      </c>
      <c r="Q26" s="9"/>
      <c r="R26" s="4" t="s">
        <v>22</v>
      </c>
      <c r="U26" s="23" t="s">
        <v>8</v>
      </c>
      <c r="V26" s="4" t="str">
        <f>IF(H26&lt;P26,"O.K","N.G")</f>
        <v>O.K</v>
      </c>
    </row>
    <row r="27" spans="5:19" ht="24.75" customHeight="1">
      <c r="E27" s="22"/>
      <c r="H27" s="10"/>
      <c r="I27" s="10"/>
      <c r="L27" s="7"/>
      <c r="P27" s="9"/>
      <c r="Q27" s="9"/>
      <c r="S27" s="23"/>
    </row>
    <row r="28" spans="5:19" ht="24.75" customHeight="1">
      <c r="E28" s="22"/>
      <c r="H28" s="10"/>
      <c r="I28" s="10"/>
      <c r="L28" s="7"/>
      <c r="P28" s="9"/>
      <c r="Q28" s="9"/>
      <c r="S28" s="23"/>
    </row>
    <row r="29" spans="1:19" ht="24.75" customHeight="1">
      <c r="A29" s="18" t="s">
        <v>257</v>
      </c>
      <c r="E29" s="22"/>
      <c r="H29" s="10"/>
      <c r="I29" s="10"/>
      <c r="L29" s="7"/>
      <c r="P29" s="9"/>
      <c r="Q29" s="9"/>
      <c r="S29" s="23"/>
    </row>
    <row r="30" spans="2:30" ht="24.75" customHeight="1">
      <c r="B30" s="4" t="s">
        <v>75</v>
      </c>
      <c r="R30" s="4" t="s">
        <v>144</v>
      </c>
      <c r="AB30" s="4"/>
      <c r="AC30" s="4"/>
      <c r="AD30" s="4"/>
    </row>
    <row r="31" spans="28:30" ht="24.75" customHeight="1">
      <c r="AB31" s="4"/>
      <c r="AC31" s="4"/>
      <c r="AD31" s="4"/>
    </row>
    <row r="32" spans="28:30" ht="24.75" customHeight="1">
      <c r="AB32" s="4"/>
      <c r="AC32" s="4"/>
      <c r="AD32" s="4"/>
    </row>
    <row r="33" spans="28:30" ht="24.75" customHeight="1">
      <c r="AB33" s="4"/>
      <c r="AC33" s="4"/>
      <c r="AD33" s="4"/>
    </row>
    <row r="34" spans="28:30" ht="24.75" customHeight="1">
      <c r="AB34" s="4"/>
      <c r="AC34" s="4"/>
      <c r="AD34" s="4"/>
    </row>
    <row r="35" spans="28:30" ht="24.75" customHeight="1">
      <c r="AB35" s="4"/>
      <c r="AC35" s="4"/>
      <c r="AD35" s="4"/>
    </row>
    <row r="36" spans="28:30" ht="24.75" customHeight="1">
      <c r="AB36" s="4"/>
      <c r="AC36" s="4"/>
      <c r="AD36" s="4"/>
    </row>
    <row r="37" spans="9:30" ht="24.75" customHeight="1">
      <c r="I37" s="10"/>
      <c r="J37" s="18" t="str">
        <f>IF(ABS(N4)&gt;ABS(N5),"σc = "&amp;N4,"σt =σ1= "&amp;V5)</f>
        <v>σt =σ1= 116.054</v>
      </c>
      <c r="K37" s="18"/>
      <c r="L37" s="18"/>
      <c r="M37" s="18"/>
      <c r="AB37" s="4"/>
      <c r="AC37" s="4"/>
      <c r="AD37" s="4"/>
    </row>
    <row r="38" spans="28:30" ht="24.75" customHeight="1">
      <c r="AB38" s="4"/>
      <c r="AC38" s="4"/>
      <c r="AD38" s="4"/>
    </row>
    <row r="39" spans="28:30" ht="24.75" customHeight="1">
      <c r="AB39" s="4"/>
      <c r="AC39" s="4"/>
      <c r="AD39" s="4"/>
    </row>
    <row r="40" spans="24:30" ht="24.75" customHeight="1">
      <c r="X40" s="7"/>
      <c r="AB40" s="4"/>
      <c r="AC40" s="4"/>
      <c r="AD40" s="4"/>
    </row>
    <row r="41" spans="28:30" ht="24.75" customHeight="1">
      <c r="AB41" s="4"/>
      <c r="AC41" s="4"/>
      <c r="AD41" s="4"/>
    </row>
    <row r="42" spans="11:30" ht="24.75" customHeight="1">
      <c r="K42" s="24" t="str">
        <f>IF(ABS(N4)&gt;ABS(N5),"σt =σ1= "&amp;V4,"σc= "&amp;N5)</f>
        <v>σc= -116.054</v>
      </c>
      <c r="AB42" s="4"/>
      <c r="AC42" s="4"/>
      <c r="AD42" s="4"/>
    </row>
    <row r="43" spans="13:30" ht="24.75" customHeight="1">
      <c r="M43" s="18"/>
      <c r="N43" s="10"/>
      <c r="O43" s="10"/>
      <c r="AB43" s="4"/>
      <c r="AC43" s="4"/>
      <c r="AD43" s="4"/>
    </row>
    <row r="44" spans="2:30" ht="24.75" customHeight="1">
      <c r="B44" s="4" t="s">
        <v>76</v>
      </c>
      <c r="F44" s="10">
        <f>IF(ABS(N4)&gt;=ABS(N5),V4,V5)</f>
        <v>116.054</v>
      </c>
      <c r="G44" s="10"/>
      <c r="H44" s="8" t="s">
        <v>77</v>
      </c>
      <c r="I44" s="10">
        <f>IF(ABS(N4)&gt;=ABS(N5),N4,N5)</f>
        <v>-116.054</v>
      </c>
      <c r="J44" s="10"/>
      <c r="K44" s="4" t="s">
        <v>78</v>
      </c>
      <c r="L44" s="25">
        <f>F44/I44</f>
        <v>-1</v>
      </c>
      <c r="M44" s="25"/>
      <c r="AB44" s="4"/>
      <c r="AC44" s="4"/>
      <c r="AD44" s="4"/>
    </row>
    <row r="45" spans="2:30" ht="24.75" customHeight="1">
      <c r="B45" s="4" t="s">
        <v>79</v>
      </c>
      <c r="F45" s="10">
        <f>K6</f>
        <v>284.869</v>
      </c>
      <c r="G45" s="10"/>
      <c r="H45" s="8" t="s">
        <v>77</v>
      </c>
      <c r="I45" s="10">
        <f>I44</f>
        <v>-116.054</v>
      </c>
      <c r="J45" s="10"/>
      <c r="K45" s="4" t="s">
        <v>78</v>
      </c>
      <c r="L45" s="25">
        <f>F45/I45</f>
        <v>-2.4546245713202475</v>
      </c>
      <c r="M45" s="25"/>
      <c r="AB45" s="4"/>
      <c r="AC45" s="4"/>
      <c r="AD45" s="4"/>
    </row>
    <row r="46" spans="2:30" ht="24.75" customHeight="1">
      <c r="B46" s="4" t="s">
        <v>80</v>
      </c>
      <c r="F46" s="4" t="s">
        <v>78</v>
      </c>
      <c r="G46" s="4" t="s">
        <v>81</v>
      </c>
      <c r="J46" s="25">
        <f>L44</f>
        <v>-1</v>
      </c>
      <c r="K46" s="25"/>
      <c r="L46" s="7" t="s">
        <v>78</v>
      </c>
      <c r="M46" s="25">
        <f>0.9-0.1*J46</f>
        <v>1</v>
      </c>
      <c r="N46" s="25"/>
      <c r="AB46" s="4"/>
      <c r="AC46" s="4"/>
      <c r="AD46" s="4"/>
    </row>
    <row r="47" spans="2:30" ht="24.75" customHeight="1">
      <c r="B47" s="4" t="s">
        <v>82</v>
      </c>
      <c r="D47" s="19">
        <v>23.9</v>
      </c>
      <c r="E47" s="19"/>
      <c r="F47" s="4" t="s">
        <v>83</v>
      </c>
      <c r="AB47" s="4"/>
      <c r="AC47" s="4"/>
      <c r="AD47" s="4"/>
    </row>
    <row r="48" spans="2:30" ht="24.75" customHeight="1">
      <c r="B48" s="4" t="s">
        <v>84</v>
      </c>
      <c r="D48" s="25">
        <f>IF(P48&lt;=1,4,5.34)</f>
        <v>4</v>
      </c>
      <c r="E48" s="25"/>
      <c r="F48" s="7" t="s">
        <v>85</v>
      </c>
      <c r="G48" s="25">
        <f>IF(P48&lt;=1,5.34,4)</f>
        <v>5.34</v>
      </c>
      <c r="H48" s="25"/>
      <c r="I48" s="23" t="s">
        <v>86</v>
      </c>
      <c r="M48" s="7" t="s">
        <v>74</v>
      </c>
      <c r="N48" s="4" t="s">
        <v>87</v>
      </c>
      <c r="P48" s="13">
        <f>I14</f>
        <v>0.877</v>
      </c>
      <c r="Q48" s="13"/>
      <c r="R48" s="4" t="str">
        <f>IF(P48&lt;=1,"≤","＞")</f>
        <v>≤</v>
      </c>
      <c r="S48" s="7">
        <v>1</v>
      </c>
      <c r="T48" s="4" t="s">
        <v>88</v>
      </c>
      <c r="AB48" s="4"/>
      <c r="AC48" s="4"/>
      <c r="AD48" s="4"/>
    </row>
    <row r="49" spans="3:30" ht="24.75" customHeight="1">
      <c r="C49" s="18" t="s">
        <v>89</v>
      </c>
      <c r="D49" s="25">
        <f>D48</f>
        <v>4</v>
      </c>
      <c r="E49" s="25"/>
      <c r="F49" s="7" t="s">
        <v>85</v>
      </c>
      <c r="G49" s="25">
        <f>G48</f>
        <v>5.34</v>
      </c>
      <c r="H49" s="25"/>
      <c r="I49" s="8" t="s">
        <v>77</v>
      </c>
      <c r="J49" s="26">
        <f>P48</f>
        <v>0.877</v>
      </c>
      <c r="K49" s="26"/>
      <c r="L49" s="4" t="s">
        <v>78</v>
      </c>
      <c r="M49" s="25">
        <f>D49+G49/J49^2</f>
        <v>10.942918548123917</v>
      </c>
      <c r="N49" s="25"/>
      <c r="O49" s="4" t="s">
        <v>90</v>
      </c>
      <c r="AB49" s="4"/>
      <c r="AC49" s="4"/>
      <c r="AD49" s="4"/>
    </row>
    <row r="50" spans="2:30" ht="24.75" customHeight="1">
      <c r="B50" s="4" t="s">
        <v>91</v>
      </c>
      <c r="AB50" s="4"/>
      <c r="AC50" s="4"/>
      <c r="AD50" s="4"/>
    </row>
    <row r="51" spans="3:30" ht="24.75" customHeight="1">
      <c r="C51" s="4" t="s">
        <v>89</v>
      </c>
      <c r="D51" s="4" t="s">
        <v>92</v>
      </c>
      <c r="J51" s="4" t="s">
        <v>93</v>
      </c>
      <c r="K51" s="25">
        <f>L44</f>
        <v>-1</v>
      </c>
      <c r="L51" s="25"/>
      <c r="M51" s="4" t="s">
        <v>94</v>
      </c>
      <c r="N51" s="21" t="str">
        <f>"-4.3 x "&amp;ROUND(L45,2)</f>
        <v>-4.3 x -2.45</v>
      </c>
      <c r="O51" s="21"/>
      <c r="P51" s="21"/>
      <c r="Q51" s="4" t="s">
        <v>78</v>
      </c>
      <c r="R51" s="25">
        <f>1.25+(0.3+0.15*L44)*EXP(-4.3*L45)</f>
        <v>5755.912482803253</v>
      </c>
      <c r="S51" s="25"/>
      <c r="T51" s="7" t="str">
        <f>IF(R51&gt;=1.25,"≥","＜")</f>
        <v>≥</v>
      </c>
      <c r="U51" s="27">
        <v>1.25</v>
      </c>
      <c r="V51" s="27"/>
      <c r="AB51" s="4"/>
      <c r="AC51" s="4"/>
      <c r="AD51" s="4"/>
    </row>
    <row r="52" spans="2:30" ht="24.75" customHeight="1">
      <c r="B52" s="16" t="s">
        <v>95</v>
      </c>
      <c r="C52" s="16"/>
      <c r="D52" s="16"/>
      <c r="F52" s="16" t="s">
        <v>96</v>
      </c>
      <c r="G52" s="16"/>
      <c r="H52" s="69" t="s">
        <v>85</v>
      </c>
      <c r="J52" s="16" t="s">
        <v>97</v>
      </c>
      <c r="K52" s="16"/>
      <c r="L52" s="28">
        <v>2</v>
      </c>
      <c r="M52" s="69" t="s">
        <v>85</v>
      </c>
      <c r="O52" s="15" t="s">
        <v>26</v>
      </c>
      <c r="P52" s="28">
        <v>2</v>
      </c>
      <c r="AB52" s="4"/>
      <c r="AC52" s="4"/>
      <c r="AD52" s="4"/>
    </row>
    <row r="53" spans="2:30" ht="24.75" customHeight="1">
      <c r="B53" s="10" t="s">
        <v>98</v>
      </c>
      <c r="C53" s="10"/>
      <c r="D53" s="10"/>
      <c r="F53" s="10" t="s">
        <v>99</v>
      </c>
      <c r="G53" s="10"/>
      <c r="H53" s="69"/>
      <c r="J53" s="10" t="s">
        <v>99</v>
      </c>
      <c r="K53" s="10"/>
      <c r="M53" s="69"/>
      <c r="O53" s="7" t="s">
        <v>25</v>
      </c>
      <c r="T53" s="28"/>
      <c r="AB53" s="4"/>
      <c r="AC53" s="4"/>
      <c r="AD53" s="4"/>
    </row>
    <row r="54" spans="2:30" ht="24.75" customHeight="1">
      <c r="B54" s="69" t="s">
        <v>78</v>
      </c>
      <c r="C54" s="29" t="str">
        <f>ROUND(R51,2)&amp;" × "&amp;I44</f>
        <v>5755.91 × -116.054</v>
      </c>
      <c r="D54" s="16"/>
      <c r="E54" s="16"/>
      <c r="F54" s="16"/>
      <c r="H54" s="14" t="str">
        <f>"1 + ("&amp;ROUND(L44,2)&amp;")"</f>
        <v>1 + (-1)</v>
      </c>
      <c r="I54" s="14"/>
      <c r="K54" s="69" t="s">
        <v>85</v>
      </c>
      <c r="M54" s="16" t="str">
        <f>"3 - ("&amp;ROUND(L44,2)&amp;")"</f>
        <v>3 - (-1)</v>
      </c>
      <c r="N54" s="16"/>
      <c r="O54" s="16"/>
      <c r="P54" s="28">
        <v>2</v>
      </c>
      <c r="Q54" s="70" t="s">
        <v>85</v>
      </c>
      <c r="R54" s="29">
        <f>ROUND(L45,2)</f>
        <v>-2.45</v>
      </c>
      <c r="S54" s="29"/>
      <c r="T54" s="28">
        <v>2</v>
      </c>
      <c r="V54" s="7"/>
      <c r="AB54" s="4"/>
      <c r="AC54" s="4"/>
      <c r="AD54" s="4"/>
    </row>
    <row r="55" spans="2:30" ht="24.75" customHeight="1">
      <c r="B55" s="69"/>
      <c r="C55" s="18" t="str">
        <f>" (425×"&amp;ROUND(M46,2)&amp;")"</f>
        <v> (425×1)</v>
      </c>
      <c r="F55" s="30">
        <v>2</v>
      </c>
      <c r="H55" s="10" t="str">
        <f>"4×"&amp;D47</f>
        <v>4×23.9</v>
      </c>
      <c r="I55" s="10"/>
      <c r="J55" s="10"/>
      <c r="K55" s="69"/>
      <c r="M55" s="10" t="str">
        <f>"4×"&amp;D47</f>
        <v>4×23.9</v>
      </c>
      <c r="N55" s="10"/>
      <c r="O55" s="10"/>
      <c r="Q55" s="70"/>
      <c r="R55" s="25">
        <f>ROUND(M49,2)</f>
        <v>10.94</v>
      </c>
      <c r="S55" s="25"/>
      <c r="V55" s="7"/>
      <c r="AB55" s="4"/>
      <c r="AC55" s="4"/>
      <c r="AD55" s="4"/>
    </row>
    <row r="56" spans="2:30" ht="24.75" customHeight="1">
      <c r="B56" s="7" t="s">
        <v>78</v>
      </c>
      <c r="C56" s="31">
        <f>R51*I44/(425*M46)^2*((1+J836)/(4*D47)+SQRT(((3-L44)/(4*D47))^2+(L45/M49)^2))</f>
        <v>-0.8825540216362506</v>
      </c>
      <c r="D56" s="31"/>
      <c r="E56" s="31"/>
      <c r="F56" s="7" t="str">
        <f>IF(C56&gt;P56,"＞","≤")</f>
        <v>≤</v>
      </c>
      <c r="G56" s="4" t="s">
        <v>100</v>
      </c>
      <c r="J56" s="7" t="s">
        <v>78</v>
      </c>
      <c r="K56" s="18" t="str">
        <f>"( "&amp;J11&amp;" / "&amp;J10&amp;" )²"</f>
        <v>( 14 / 2850 )²</v>
      </c>
      <c r="M56" s="8"/>
      <c r="N56" s="51"/>
      <c r="O56" s="51" t="s">
        <v>78</v>
      </c>
      <c r="P56" s="31">
        <f>(J11/J10)^2</f>
        <v>2.4130501692828564E-05</v>
      </c>
      <c r="Q56" s="31"/>
      <c r="R56" s="31"/>
      <c r="S56" s="4" t="str">
        <f>IF(C56&gt;P56,"N.G. したがって、水平補剛材必要。","O.K. したがって、水平補剛材必要なし。")</f>
        <v>O.K. したがって、水平補剛材必要なし。</v>
      </c>
      <c r="V56" s="31"/>
      <c r="AB56" s="4"/>
      <c r="AC56" s="4"/>
      <c r="AD56" s="4"/>
    </row>
    <row r="57" spans="28:30" ht="24.75" customHeight="1">
      <c r="AB57" s="4"/>
      <c r="AC57" s="4"/>
      <c r="AD57" s="4"/>
    </row>
  </sheetData>
  <mergeCells count="131">
    <mergeCell ref="W11:X11"/>
    <mergeCell ref="B54:B55"/>
    <mergeCell ref="H52:H53"/>
    <mergeCell ref="M52:M53"/>
    <mergeCell ref="AO14:AQ14"/>
    <mergeCell ref="AO15:AQ15"/>
    <mergeCell ref="K54:K55"/>
    <mergeCell ref="Q54:Q55"/>
    <mergeCell ref="AC14:AE14"/>
    <mergeCell ref="AF14:AH14"/>
    <mergeCell ref="AI14:AK14"/>
    <mergeCell ref="AL14:AN14"/>
    <mergeCell ref="AL15:AN15"/>
    <mergeCell ref="AC2:AM2"/>
    <mergeCell ref="AC3:AE3"/>
    <mergeCell ref="AF3:AH3"/>
    <mergeCell ref="AI3:AK3"/>
    <mergeCell ref="AL3:AN3"/>
    <mergeCell ref="AC5:AE5"/>
    <mergeCell ref="AF5:AH5"/>
    <mergeCell ref="AI5:AK5"/>
    <mergeCell ref="AL5:AN5"/>
    <mergeCell ref="AR3:AT3"/>
    <mergeCell ref="AU3:AW3"/>
    <mergeCell ref="AX3:AZ3"/>
    <mergeCell ref="BA3:BC3"/>
    <mergeCell ref="BD3:BF3"/>
    <mergeCell ref="BG3:BI3"/>
    <mergeCell ref="BJ3:BL3"/>
    <mergeCell ref="BM3:BO3"/>
    <mergeCell ref="BP3:BR3"/>
    <mergeCell ref="AC4:AE4"/>
    <mergeCell ref="AF4:AH4"/>
    <mergeCell ref="AI4:AK4"/>
    <mergeCell ref="AL4:AN4"/>
    <mergeCell ref="AR4:AT4"/>
    <mergeCell ref="AU4:AW4"/>
    <mergeCell ref="AX4:AZ4"/>
    <mergeCell ref="BA4:BC4"/>
    <mergeCell ref="BD4:BF4"/>
    <mergeCell ref="BG4:BI4"/>
    <mergeCell ref="BJ4:BL4"/>
    <mergeCell ref="BM4:BO4"/>
    <mergeCell ref="BP4:BR4"/>
    <mergeCell ref="AR5:AT5"/>
    <mergeCell ref="AU5:AW5"/>
    <mergeCell ref="AX5:AZ5"/>
    <mergeCell ref="BA5:BC5"/>
    <mergeCell ref="BD5:BF5"/>
    <mergeCell ref="BG5:BI5"/>
    <mergeCell ref="BJ5:BL5"/>
    <mergeCell ref="BM5:BO5"/>
    <mergeCell ref="BP5:BR5"/>
    <mergeCell ref="AC6:AE6"/>
    <mergeCell ref="AF6:AH6"/>
    <mergeCell ref="AI6:AK6"/>
    <mergeCell ref="AL6:AN6"/>
    <mergeCell ref="AR6:AT6"/>
    <mergeCell ref="AU6:AW6"/>
    <mergeCell ref="AX6:AZ6"/>
    <mergeCell ref="BA6:BC6"/>
    <mergeCell ref="BD6:BF6"/>
    <mergeCell ref="BG6:BI6"/>
    <mergeCell ref="BJ6:BL6"/>
    <mergeCell ref="BM6:BO6"/>
    <mergeCell ref="BP6:BR6"/>
    <mergeCell ref="BD14:BF14"/>
    <mergeCell ref="BG14:BI14"/>
    <mergeCell ref="BJ14:BL14"/>
    <mergeCell ref="BM14:BO14"/>
    <mergeCell ref="BP14:BR14"/>
    <mergeCell ref="BG13:BI13"/>
    <mergeCell ref="BJ13:BL13"/>
    <mergeCell ref="BM13:BO13"/>
    <mergeCell ref="BP13:BR13"/>
    <mergeCell ref="AR14:AT14"/>
    <mergeCell ref="AU14:AW14"/>
    <mergeCell ref="AX14:AZ14"/>
    <mergeCell ref="BA14:BC14"/>
    <mergeCell ref="BJ12:BL12"/>
    <mergeCell ref="BM12:BO12"/>
    <mergeCell ref="AO12:AQ12"/>
    <mergeCell ref="BP12:BR12"/>
    <mergeCell ref="BD12:BF12"/>
    <mergeCell ref="AU12:AW12"/>
    <mergeCell ref="AX12:AZ12"/>
    <mergeCell ref="BA12:BC12"/>
    <mergeCell ref="BG12:BI12"/>
    <mergeCell ref="BD13:BF13"/>
    <mergeCell ref="AC13:AE13"/>
    <mergeCell ref="AF13:AH13"/>
    <mergeCell ref="AI13:AK13"/>
    <mergeCell ref="AL13:AN13"/>
    <mergeCell ref="AO13:AQ13"/>
    <mergeCell ref="AR13:AT13"/>
    <mergeCell ref="AU13:AW13"/>
    <mergeCell ref="AX13:AZ13"/>
    <mergeCell ref="BA13:BC13"/>
    <mergeCell ref="AF12:AH12"/>
    <mergeCell ref="AI12:AK12"/>
    <mergeCell ref="AL12:AN12"/>
    <mergeCell ref="AR12:AT12"/>
    <mergeCell ref="I2:L2"/>
    <mergeCell ref="AC15:AE15"/>
    <mergeCell ref="AF15:AH15"/>
    <mergeCell ref="AI15:AK15"/>
    <mergeCell ref="AC11:AO11"/>
    <mergeCell ref="AO3:AQ3"/>
    <mergeCell ref="AO4:AQ4"/>
    <mergeCell ref="AO5:AQ5"/>
    <mergeCell ref="AO6:AQ6"/>
    <mergeCell ref="AC12:AE12"/>
    <mergeCell ref="AR15:AT15"/>
    <mergeCell ref="AU15:AW15"/>
    <mergeCell ref="AX15:AZ15"/>
    <mergeCell ref="BA15:BC15"/>
    <mergeCell ref="BP15:BR15"/>
    <mergeCell ref="BD15:BF15"/>
    <mergeCell ref="BG15:BI15"/>
    <mergeCell ref="BJ15:BL15"/>
    <mergeCell ref="BM15:BO15"/>
    <mergeCell ref="N4:O4"/>
    <mergeCell ref="V4:W4"/>
    <mergeCell ref="N5:O5"/>
    <mergeCell ref="V5:W5"/>
    <mergeCell ref="J10:K10"/>
    <mergeCell ref="J11:K11"/>
    <mergeCell ref="K6:M6"/>
    <mergeCell ref="K7:L7"/>
    <mergeCell ref="K8:L8"/>
    <mergeCell ref="J9:K9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5"/>
  <headerFooter alignWithMargins="0">
    <oddHeader>&amp;R
</oddHeader>
  </headerFooter>
  <drawing r:id="rId4"/>
  <legacyDrawing r:id="rId3"/>
  <oleObjects>
    <oleObject progId="HunEquation" shapeId="1158613" r:id="rId1"/>
    <oleObject progId="HunEquation" shapeId="115861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P76"/>
  <sheetViews>
    <sheetView showGridLines="0" workbookViewId="0" topLeftCell="A1">
      <selection activeCell="A1" sqref="A1:IV16384"/>
    </sheetView>
  </sheetViews>
  <sheetFormatPr defaultColWidth="8.88671875" defaultRowHeight="21" customHeight="1"/>
  <cols>
    <col min="1" max="16384" width="1.77734375" style="59" customWidth="1"/>
  </cols>
  <sheetData>
    <row r="1" ht="21" customHeight="1">
      <c r="A1" s="61" t="s">
        <v>157</v>
      </c>
    </row>
    <row r="2" ht="21" customHeight="1">
      <c r="A2" s="129" t="s">
        <v>158</v>
      </c>
    </row>
    <row r="3" spans="2:42" ht="21" customHeight="1">
      <c r="B3" s="130" t="s">
        <v>159</v>
      </c>
      <c r="C3" s="131"/>
      <c r="D3" s="131"/>
      <c r="E3" s="132"/>
      <c r="F3" s="100" t="s">
        <v>160</v>
      </c>
      <c r="G3" s="133"/>
      <c r="H3" s="133"/>
      <c r="I3" s="133"/>
      <c r="J3" s="133"/>
      <c r="K3" s="133"/>
      <c r="L3" s="133"/>
      <c r="M3" s="101"/>
      <c r="N3" s="100" t="s">
        <v>161</v>
      </c>
      <c r="O3" s="133"/>
      <c r="P3" s="133"/>
      <c r="Q3" s="133"/>
      <c r="R3" s="133"/>
      <c r="S3" s="133"/>
      <c r="T3" s="133"/>
      <c r="U3" s="101"/>
      <c r="V3" s="100" t="s">
        <v>162</v>
      </c>
      <c r="W3" s="133"/>
      <c r="X3" s="133"/>
      <c r="Y3" s="133"/>
      <c r="Z3" s="133"/>
      <c r="AA3" s="133"/>
      <c r="AB3" s="133"/>
      <c r="AC3" s="101"/>
      <c r="AD3" s="100" t="s">
        <v>163</v>
      </c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01"/>
    </row>
    <row r="4" spans="2:42" ht="21" customHeight="1">
      <c r="B4" s="134"/>
      <c r="C4" s="135"/>
      <c r="D4" s="135"/>
      <c r="E4" s="136"/>
      <c r="F4" s="100" t="s">
        <v>164</v>
      </c>
      <c r="G4" s="133"/>
      <c r="H4" s="101"/>
      <c r="I4" s="100" t="s">
        <v>165</v>
      </c>
      <c r="J4" s="133"/>
      <c r="K4" s="101"/>
      <c r="L4" s="100" t="s">
        <v>166</v>
      </c>
      <c r="M4" s="101"/>
      <c r="N4" s="100" t="s">
        <v>167</v>
      </c>
      <c r="O4" s="133"/>
      <c r="P4" s="101"/>
      <c r="Q4" s="100" t="s">
        <v>165</v>
      </c>
      <c r="R4" s="133"/>
      <c r="S4" s="101"/>
      <c r="T4" s="100" t="s">
        <v>166</v>
      </c>
      <c r="U4" s="101"/>
      <c r="V4" s="100" t="s">
        <v>167</v>
      </c>
      <c r="W4" s="133"/>
      <c r="X4" s="101"/>
      <c r="Y4" s="100" t="s">
        <v>165</v>
      </c>
      <c r="Z4" s="133"/>
      <c r="AA4" s="101"/>
      <c r="AB4" s="100" t="s">
        <v>166</v>
      </c>
      <c r="AC4" s="101"/>
      <c r="AD4" s="100" t="s">
        <v>167</v>
      </c>
      <c r="AE4" s="133"/>
      <c r="AF4" s="133"/>
      <c r="AG4" s="133"/>
      <c r="AH4" s="101"/>
      <c r="AI4" s="100" t="s">
        <v>165</v>
      </c>
      <c r="AJ4" s="133"/>
      <c r="AK4" s="133"/>
      <c r="AL4" s="133"/>
      <c r="AM4" s="101"/>
      <c r="AN4" s="100" t="s">
        <v>166</v>
      </c>
      <c r="AO4" s="133"/>
      <c r="AP4" s="101"/>
    </row>
    <row r="5" spans="2:42" ht="21" customHeight="1">
      <c r="B5" s="100" t="s">
        <v>168</v>
      </c>
      <c r="C5" s="133"/>
      <c r="D5" s="133"/>
      <c r="E5" s="101"/>
      <c r="F5" s="71">
        <v>1.5</v>
      </c>
      <c r="G5" s="72"/>
      <c r="H5" s="73"/>
      <c r="I5" s="74">
        <v>0.877193</v>
      </c>
      <c r="J5" s="75"/>
      <c r="K5" s="76"/>
      <c r="L5" s="100" t="str">
        <f aca="true" t="shared" si="0" ref="L5:L38">IF(F5&gt;=I5,"O.K","N.G")</f>
        <v>O.K</v>
      </c>
      <c r="M5" s="101"/>
      <c r="N5" s="71">
        <v>145</v>
      </c>
      <c r="O5" s="72"/>
      <c r="P5" s="73"/>
      <c r="Q5" s="71">
        <v>180</v>
      </c>
      <c r="R5" s="72"/>
      <c r="S5" s="73"/>
      <c r="T5" s="100" t="str">
        <f aca="true" t="shared" si="1" ref="T5:T38">IF(N5&lt;=Q5,"O.K","N.G")</f>
        <v>O.K</v>
      </c>
      <c r="U5" s="101"/>
      <c r="V5" s="71">
        <v>13.846154</v>
      </c>
      <c r="W5" s="72"/>
      <c r="X5" s="73"/>
      <c r="Y5" s="71">
        <v>14</v>
      </c>
      <c r="Z5" s="72"/>
      <c r="AA5" s="73"/>
      <c r="AB5" s="100" t="str">
        <f aca="true" t="shared" si="2" ref="AB5:AB38">IF(V5&lt;=Y5,"O.K","N.G")</f>
        <v>O.K</v>
      </c>
      <c r="AC5" s="101"/>
      <c r="AD5" s="71">
        <v>739.15577</v>
      </c>
      <c r="AE5" s="72"/>
      <c r="AF5" s="72"/>
      <c r="AG5" s="72"/>
      <c r="AH5" s="73"/>
      <c r="AI5" s="71">
        <v>2721.6</v>
      </c>
      <c r="AJ5" s="72"/>
      <c r="AK5" s="72"/>
      <c r="AL5" s="72"/>
      <c r="AM5" s="73"/>
      <c r="AN5" s="100" t="str">
        <f aca="true" t="shared" si="3" ref="AN5:AN38">IF(AD5&lt;=AI5,"O.K","N.G")</f>
        <v>O.K</v>
      </c>
      <c r="AO5" s="133"/>
      <c r="AP5" s="101"/>
    </row>
    <row r="6" spans="2:42" ht="21" customHeight="1">
      <c r="B6" s="100" t="s">
        <v>169</v>
      </c>
      <c r="C6" s="133"/>
      <c r="D6" s="133"/>
      <c r="E6" s="101"/>
      <c r="F6" s="71">
        <v>1.5</v>
      </c>
      <c r="G6" s="72"/>
      <c r="H6" s="73"/>
      <c r="I6" s="74">
        <v>0.880282</v>
      </c>
      <c r="J6" s="75"/>
      <c r="K6" s="76"/>
      <c r="L6" s="100" t="str">
        <f t="shared" si="0"/>
        <v>O.K</v>
      </c>
      <c r="M6" s="101"/>
      <c r="N6" s="71">
        <v>144.666667</v>
      </c>
      <c r="O6" s="72"/>
      <c r="P6" s="73"/>
      <c r="Q6" s="71">
        <v>180</v>
      </c>
      <c r="R6" s="72"/>
      <c r="S6" s="73"/>
      <c r="T6" s="100" t="str">
        <f t="shared" si="1"/>
        <v>O.K</v>
      </c>
      <c r="U6" s="101"/>
      <c r="V6" s="71">
        <v>13.846154</v>
      </c>
      <c r="W6" s="72"/>
      <c r="X6" s="73"/>
      <c r="Y6" s="71">
        <v>14</v>
      </c>
      <c r="Z6" s="72"/>
      <c r="AA6" s="73"/>
      <c r="AB6" s="100" t="str">
        <f t="shared" si="2"/>
        <v>O.K</v>
      </c>
      <c r="AC6" s="101"/>
      <c r="AD6" s="71">
        <v>731.402452</v>
      </c>
      <c r="AE6" s="72"/>
      <c r="AF6" s="72"/>
      <c r="AG6" s="72"/>
      <c r="AH6" s="73"/>
      <c r="AI6" s="71">
        <v>2721.6</v>
      </c>
      <c r="AJ6" s="72"/>
      <c r="AK6" s="72"/>
      <c r="AL6" s="72"/>
      <c r="AM6" s="73"/>
      <c r="AN6" s="100" t="str">
        <f t="shared" si="3"/>
        <v>O.K</v>
      </c>
      <c r="AO6" s="133"/>
      <c r="AP6" s="101"/>
    </row>
    <row r="7" spans="2:42" ht="21" customHeight="1">
      <c r="B7" s="100" t="s">
        <v>170</v>
      </c>
      <c r="C7" s="133"/>
      <c r="D7" s="133"/>
      <c r="E7" s="101"/>
      <c r="F7" s="71">
        <v>1.5</v>
      </c>
      <c r="G7" s="72"/>
      <c r="H7" s="73"/>
      <c r="I7" s="74">
        <v>0.880282</v>
      </c>
      <c r="J7" s="75"/>
      <c r="K7" s="76"/>
      <c r="L7" s="100" t="str">
        <f t="shared" si="0"/>
        <v>O.K</v>
      </c>
      <c r="M7" s="101"/>
      <c r="N7" s="71">
        <v>144.666667</v>
      </c>
      <c r="O7" s="72"/>
      <c r="P7" s="73"/>
      <c r="Q7" s="71">
        <v>180</v>
      </c>
      <c r="R7" s="72"/>
      <c r="S7" s="73"/>
      <c r="T7" s="100" t="str">
        <f t="shared" si="1"/>
        <v>O.K</v>
      </c>
      <c r="U7" s="101"/>
      <c r="V7" s="71">
        <v>13.846154</v>
      </c>
      <c r="W7" s="72"/>
      <c r="X7" s="73"/>
      <c r="Y7" s="71">
        <v>14</v>
      </c>
      <c r="Z7" s="72"/>
      <c r="AA7" s="73"/>
      <c r="AB7" s="100" t="str">
        <f t="shared" si="2"/>
        <v>O.K</v>
      </c>
      <c r="AC7" s="101"/>
      <c r="AD7" s="71">
        <v>731.402452</v>
      </c>
      <c r="AE7" s="72"/>
      <c r="AF7" s="72"/>
      <c r="AG7" s="72"/>
      <c r="AH7" s="73"/>
      <c r="AI7" s="71">
        <v>2721.6</v>
      </c>
      <c r="AJ7" s="72"/>
      <c r="AK7" s="72"/>
      <c r="AL7" s="72"/>
      <c r="AM7" s="73"/>
      <c r="AN7" s="100" t="str">
        <f t="shared" si="3"/>
        <v>O.K</v>
      </c>
      <c r="AO7" s="133"/>
      <c r="AP7" s="101"/>
    </row>
    <row r="8" spans="2:42" ht="21" customHeight="1">
      <c r="B8" s="100" t="s">
        <v>171</v>
      </c>
      <c r="C8" s="133"/>
      <c r="D8" s="133"/>
      <c r="E8" s="101"/>
      <c r="F8" s="71">
        <v>1.5</v>
      </c>
      <c r="G8" s="72"/>
      <c r="H8" s="73"/>
      <c r="I8" s="74">
        <v>0.880282</v>
      </c>
      <c r="J8" s="75"/>
      <c r="K8" s="76"/>
      <c r="L8" s="100" t="str">
        <f t="shared" si="0"/>
        <v>O.K</v>
      </c>
      <c r="M8" s="101"/>
      <c r="N8" s="71">
        <v>144.666667</v>
      </c>
      <c r="O8" s="72"/>
      <c r="P8" s="73"/>
      <c r="Q8" s="71">
        <v>180</v>
      </c>
      <c r="R8" s="72"/>
      <c r="S8" s="73"/>
      <c r="T8" s="100" t="str">
        <f t="shared" si="1"/>
        <v>O.K</v>
      </c>
      <c r="U8" s="101"/>
      <c r="V8" s="71">
        <v>13.846154</v>
      </c>
      <c r="W8" s="72"/>
      <c r="X8" s="73"/>
      <c r="Y8" s="71">
        <v>14</v>
      </c>
      <c r="Z8" s="72"/>
      <c r="AA8" s="73"/>
      <c r="AB8" s="100" t="str">
        <f t="shared" si="2"/>
        <v>O.K</v>
      </c>
      <c r="AC8" s="101"/>
      <c r="AD8" s="71">
        <v>731.402452</v>
      </c>
      <c r="AE8" s="72"/>
      <c r="AF8" s="72"/>
      <c r="AG8" s="72"/>
      <c r="AH8" s="73"/>
      <c r="AI8" s="71">
        <v>2721.6</v>
      </c>
      <c r="AJ8" s="72"/>
      <c r="AK8" s="72"/>
      <c r="AL8" s="72"/>
      <c r="AM8" s="73"/>
      <c r="AN8" s="100" t="str">
        <f t="shared" si="3"/>
        <v>O.K</v>
      </c>
      <c r="AO8" s="133"/>
      <c r="AP8" s="101"/>
    </row>
    <row r="9" spans="2:42" ht="21" customHeight="1">
      <c r="B9" s="100" t="s">
        <v>172</v>
      </c>
      <c r="C9" s="133"/>
      <c r="D9" s="133"/>
      <c r="E9" s="101"/>
      <c r="F9" s="71">
        <v>1.5</v>
      </c>
      <c r="G9" s="72"/>
      <c r="H9" s="73"/>
      <c r="I9" s="74">
        <v>0.880282</v>
      </c>
      <c r="J9" s="75"/>
      <c r="K9" s="76"/>
      <c r="L9" s="100" t="str">
        <f t="shared" si="0"/>
        <v>O.K</v>
      </c>
      <c r="M9" s="101"/>
      <c r="N9" s="71">
        <v>144.666667</v>
      </c>
      <c r="O9" s="72"/>
      <c r="P9" s="73"/>
      <c r="Q9" s="71">
        <v>180</v>
      </c>
      <c r="R9" s="72"/>
      <c r="S9" s="73"/>
      <c r="T9" s="100" t="str">
        <f t="shared" si="1"/>
        <v>O.K</v>
      </c>
      <c r="U9" s="101"/>
      <c r="V9" s="71">
        <v>13.846154</v>
      </c>
      <c r="W9" s="72"/>
      <c r="X9" s="73"/>
      <c r="Y9" s="71">
        <v>14</v>
      </c>
      <c r="Z9" s="72"/>
      <c r="AA9" s="73"/>
      <c r="AB9" s="100" t="str">
        <f t="shared" si="2"/>
        <v>O.K</v>
      </c>
      <c r="AC9" s="101"/>
      <c r="AD9" s="71">
        <v>731.402452</v>
      </c>
      <c r="AE9" s="72"/>
      <c r="AF9" s="72"/>
      <c r="AG9" s="72"/>
      <c r="AH9" s="73"/>
      <c r="AI9" s="71">
        <v>2721.6</v>
      </c>
      <c r="AJ9" s="72"/>
      <c r="AK9" s="72"/>
      <c r="AL9" s="72"/>
      <c r="AM9" s="73"/>
      <c r="AN9" s="100" t="str">
        <f t="shared" si="3"/>
        <v>O.K</v>
      </c>
      <c r="AO9" s="133"/>
      <c r="AP9" s="101"/>
    </row>
    <row r="10" spans="2:42" ht="21" customHeight="1">
      <c r="B10" s="100" t="s">
        <v>173</v>
      </c>
      <c r="C10" s="133"/>
      <c r="D10" s="133"/>
      <c r="E10" s="101"/>
      <c r="F10" s="71">
        <v>1.5</v>
      </c>
      <c r="G10" s="72"/>
      <c r="H10" s="73"/>
      <c r="I10" s="74">
        <v>0.880282</v>
      </c>
      <c r="J10" s="75"/>
      <c r="K10" s="76"/>
      <c r="L10" s="100" t="str">
        <f t="shared" si="0"/>
        <v>O.K</v>
      </c>
      <c r="M10" s="101"/>
      <c r="N10" s="71">
        <v>144.666667</v>
      </c>
      <c r="O10" s="72"/>
      <c r="P10" s="73"/>
      <c r="Q10" s="71">
        <v>180</v>
      </c>
      <c r="R10" s="72"/>
      <c r="S10" s="73"/>
      <c r="T10" s="100" t="str">
        <f t="shared" si="1"/>
        <v>O.K</v>
      </c>
      <c r="U10" s="101"/>
      <c r="V10" s="71">
        <v>13.846154</v>
      </c>
      <c r="W10" s="72"/>
      <c r="X10" s="73"/>
      <c r="Y10" s="71">
        <v>14</v>
      </c>
      <c r="Z10" s="72"/>
      <c r="AA10" s="73"/>
      <c r="AB10" s="100" t="str">
        <f t="shared" si="2"/>
        <v>O.K</v>
      </c>
      <c r="AC10" s="101"/>
      <c r="AD10" s="71">
        <v>731.402452</v>
      </c>
      <c r="AE10" s="72"/>
      <c r="AF10" s="72"/>
      <c r="AG10" s="72"/>
      <c r="AH10" s="73"/>
      <c r="AI10" s="71">
        <v>2721.6</v>
      </c>
      <c r="AJ10" s="72"/>
      <c r="AK10" s="72"/>
      <c r="AL10" s="72"/>
      <c r="AM10" s="73"/>
      <c r="AN10" s="100" t="str">
        <f t="shared" si="3"/>
        <v>O.K</v>
      </c>
      <c r="AO10" s="133"/>
      <c r="AP10" s="101"/>
    </row>
    <row r="11" spans="2:42" ht="21" customHeight="1">
      <c r="B11" s="100" t="s">
        <v>174</v>
      </c>
      <c r="C11" s="133"/>
      <c r="D11" s="133"/>
      <c r="E11" s="101"/>
      <c r="F11" s="71">
        <v>1.5</v>
      </c>
      <c r="G11" s="72"/>
      <c r="H11" s="73"/>
      <c r="I11" s="74">
        <v>0.880282</v>
      </c>
      <c r="J11" s="75"/>
      <c r="K11" s="76"/>
      <c r="L11" s="100" t="str">
        <f t="shared" si="0"/>
        <v>O.K</v>
      </c>
      <c r="M11" s="101"/>
      <c r="N11" s="71">
        <v>144.666667</v>
      </c>
      <c r="O11" s="72"/>
      <c r="P11" s="73"/>
      <c r="Q11" s="71">
        <v>180</v>
      </c>
      <c r="R11" s="72"/>
      <c r="S11" s="73"/>
      <c r="T11" s="100" t="str">
        <f t="shared" si="1"/>
        <v>O.K</v>
      </c>
      <c r="U11" s="101"/>
      <c r="V11" s="71">
        <v>13.846154</v>
      </c>
      <c r="W11" s="72"/>
      <c r="X11" s="73"/>
      <c r="Y11" s="71">
        <v>14</v>
      </c>
      <c r="Z11" s="72"/>
      <c r="AA11" s="73"/>
      <c r="AB11" s="100" t="str">
        <f t="shared" si="2"/>
        <v>O.K</v>
      </c>
      <c r="AC11" s="101"/>
      <c r="AD11" s="71">
        <v>731.402452</v>
      </c>
      <c r="AE11" s="72"/>
      <c r="AF11" s="72"/>
      <c r="AG11" s="72"/>
      <c r="AH11" s="73"/>
      <c r="AI11" s="71">
        <v>2721.6</v>
      </c>
      <c r="AJ11" s="72"/>
      <c r="AK11" s="72"/>
      <c r="AL11" s="72"/>
      <c r="AM11" s="73"/>
      <c r="AN11" s="100" t="str">
        <f t="shared" si="3"/>
        <v>O.K</v>
      </c>
      <c r="AO11" s="133"/>
      <c r="AP11" s="101"/>
    </row>
    <row r="12" spans="2:42" ht="21" customHeight="1">
      <c r="B12" s="100" t="s">
        <v>175</v>
      </c>
      <c r="C12" s="133"/>
      <c r="D12" s="133"/>
      <c r="E12" s="101"/>
      <c r="F12" s="71">
        <v>1.5</v>
      </c>
      <c r="G12" s="72"/>
      <c r="H12" s="73"/>
      <c r="I12" s="74">
        <v>0.874126</v>
      </c>
      <c r="J12" s="75"/>
      <c r="K12" s="76"/>
      <c r="L12" s="100" t="str">
        <f t="shared" si="0"/>
        <v>O.K</v>
      </c>
      <c r="M12" s="101"/>
      <c r="N12" s="71">
        <v>145.333333</v>
      </c>
      <c r="O12" s="72"/>
      <c r="P12" s="73"/>
      <c r="Q12" s="71">
        <v>180</v>
      </c>
      <c r="R12" s="72"/>
      <c r="S12" s="73"/>
      <c r="T12" s="100" t="str">
        <f t="shared" si="1"/>
        <v>O.K</v>
      </c>
      <c r="U12" s="101"/>
      <c r="V12" s="71">
        <v>13.846154</v>
      </c>
      <c r="W12" s="72"/>
      <c r="X12" s="73"/>
      <c r="Y12" s="71">
        <v>14</v>
      </c>
      <c r="Z12" s="72"/>
      <c r="AA12" s="73"/>
      <c r="AB12" s="100" t="str">
        <f t="shared" si="2"/>
        <v>O.K</v>
      </c>
      <c r="AC12" s="101"/>
      <c r="AD12" s="71">
        <v>746.963689</v>
      </c>
      <c r="AE12" s="72"/>
      <c r="AF12" s="72"/>
      <c r="AG12" s="72"/>
      <c r="AH12" s="73"/>
      <c r="AI12" s="71">
        <v>2721.6</v>
      </c>
      <c r="AJ12" s="72"/>
      <c r="AK12" s="72"/>
      <c r="AL12" s="72"/>
      <c r="AM12" s="73"/>
      <c r="AN12" s="100" t="str">
        <f t="shared" si="3"/>
        <v>O.K</v>
      </c>
      <c r="AO12" s="133"/>
      <c r="AP12" s="101"/>
    </row>
    <row r="13" spans="2:42" ht="21" customHeight="1">
      <c r="B13" s="100" t="s">
        <v>176</v>
      </c>
      <c r="C13" s="133"/>
      <c r="D13" s="133"/>
      <c r="E13" s="101"/>
      <c r="F13" s="71">
        <v>1.5</v>
      </c>
      <c r="G13" s="72"/>
      <c r="H13" s="73"/>
      <c r="I13" s="74">
        <v>0.874126</v>
      </c>
      <c r="J13" s="75"/>
      <c r="K13" s="76"/>
      <c r="L13" s="100" t="str">
        <f t="shared" si="0"/>
        <v>O.K</v>
      </c>
      <c r="M13" s="101"/>
      <c r="N13" s="71">
        <v>145.333333</v>
      </c>
      <c r="O13" s="72"/>
      <c r="P13" s="73"/>
      <c r="Q13" s="71">
        <v>180</v>
      </c>
      <c r="R13" s="72"/>
      <c r="S13" s="73"/>
      <c r="T13" s="100" t="str">
        <f t="shared" si="1"/>
        <v>O.K</v>
      </c>
      <c r="U13" s="101"/>
      <c r="V13" s="71">
        <v>13.846154</v>
      </c>
      <c r="W13" s="72"/>
      <c r="X13" s="73"/>
      <c r="Y13" s="71">
        <v>14</v>
      </c>
      <c r="Z13" s="72"/>
      <c r="AA13" s="73"/>
      <c r="AB13" s="100" t="str">
        <f t="shared" si="2"/>
        <v>O.K</v>
      </c>
      <c r="AC13" s="101"/>
      <c r="AD13" s="71">
        <v>746.963689</v>
      </c>
      <c r="AE13" s="72"/>
      <c r="AF13" s="72"/>
      <c r="AG13" s="72"/>
      <c r="AH13" s="73"/>
      <c r="AI13" s="71">
        <v>2721.6</v>
      </c>
      <c r="AJ13" s="72"/>
      <c r="AK13" s="72"/>
      <c r="AL13" s="72"/>
      <c r="AM13" s="73"/>
      <c r="AN13" s="100" t="str">
        <f t="shared" si="3"/>
        <v>O.K</v>
      </c>
      <c r="AO13" s="133"/>
      <c r="AP13" s="101"/>
    </row>
    <row r="14" spans="2:42" ht="21" customHeight="1">
      <c r="B14" s="100" t="s">
        <v>177</v>
      </c>
      <c r="C14" s="133"/>
      <c r="D14" s="133"/>
      <c r="E14" s="101"/>
      <c r="F14" s="71">
        <v>1.5</v>
      </c>
      <c r="G14" s="72"/>
      <c r="H14" s="73"/>
      <c r="I14" s="74">
        <v>0.874126</v>
      </c>
      <c r="J14" s="75"/>
      <c r="K14" s="76"/>
      <c r="L14" s="100" t="str">
        <f t="shared" si="0"/>
        <v>O.K</v>
      </c>
      <c r="M14" s="101"/>
      <c r="N14" s="71">
        <v>145.333333</v>
      </c>
      <c r="O14" s="72"/>
      <c r="P14" s="73"/>
      <c r="Q14" s="71">
        <v>180</v>
      </c>
      <c r="R14" s="72"/>
      <c r="S14" s="73"/>
      <c r="T14" s="100" t="str">
        <f t="shared" si="1"/>
        <v>O.K</v>
      </c>
      <c r="U14" s="101"/>
      <c r="V14" s="71">
        <v>13.846154</v>
      </c>
      <c r="W14" s="72"/>
      <c r="X14" s="73"/>
      <c r="Y14" s="71">
        <v>14</v>
      </c>
      <c r="Z14" s="72"/>
      <c r="AA14" s="73"/>
      <c r="AB14" s="100" t="str">
        <f t="shared" si="2"/>
        <v>O.K</v>
      </c>
      <c r="AC14" s="101"/>
      <c r="AD14" s="71">
        <v>746.963689</v>
      </c>
      <c r="AE14" s="72"/>
      <c r="AF14" s="72"/>
      <c r="AG14" s="72"/>
      <c r="AH14" s="73"/>
      <c r="AI14" s="71">
        <v>2721.6</v>
      </c>
      <c r="AJ14" s="72"/>
      <c r="AK14" s="72"/>
      <c r="AL14" s="72"/>
      <c r="AM14" s="73"/>
      <c r="AN14" s="100" t="str">
        <f t="shared" si="3"/>
        <v>O.K</v>
      </c>
      <c r="AO14" s="133"/>
      <c r="AP14" s="101"/>
    </row>
    <row r="15" spans="2:42" ht="21" customHeight="1">
      <c r="B15" s="100" t="s">
        <v>178</v>
      </c>
      <c r="C15" s="133"/>
      <c r="D15" s="133"/>
      <c r="E15" s="101"/>
      <c r="F15" s="71">
        <v>1.5</v>
      </c>
      <c r="G15" s="72"/>
      <c r="H15" s="73"/>
      <c r="I15" s="74">
        <v>0.880282</v>
      </c>
      <c r="J15" s="75"/>
      <c r="K15" s="76"/>
      <c r="L15" s="100" t="str">
        <f t="shared" si="0"/>
        <v>O.K</v>
      </c>
      <c r="M15" s="101"/>
      <c r="N15" s="71">
        <v>144.666667</v>
      </c>
      <c r="O15" s="72"/>
      <c r="P15" s="73"/>
      <c r="Q15" s="71">
        <v>180</v>
      </c>
      <c r="R15" s="72"/>
      <c r="S15" s="73"/>
      <c r="T15" s="100" t="str">
        <f t="shared" si="1"/>
        <v>O.K</v>
      </c>
      <c r="U15" s="101"/>
      <c r="V15" s="71">
        <v>13.846154</v>
      </c>
      <c r="W15" s="72"/>
      <c r="X15" s="73"/>
      <c r="Y15" s="71">
        <v>14</v>
      </c>
      <c r="Z15" s="72"/>
      <c r="AA15" s="73"/>
      <c r="AB15" s="100" t="str">
        <f t="shared" si="2"/>
        <v>O.K</v>
      </c>
      <c r="AC15" s="101"/>
      <c r="AD15" s="71">
        <v>731.402452</v>
      </c>
      <c r="AE15" s="72"/>
      <c r="AF15" s="72"/>
      <c r="AG15" s="72"/>
      <c r="AH15" s="73"/>
      <c r="AI15" s="71">
        <v>2721.6</v>
      </c>
      <c r="AJ15" s="72"/>
      <c r="AK15" s="72"/>
      <c r="AL15" s="72"/>
      <c r="AM15" s="73"/>
      <c r="AN15" s="100" t="str">
        <f t="shared" si="3"/>
        <v>O.K</v>
      </c>
      <c r="AO15" s="133"/>
      <c r="AP15" s="101"/>
    </row>
    <row r="16" spans="2:42" ht="21" customHeight="1">
      <c r="B16" s="100" t="s">
        <v>179</v>
      </c>
      <c r="C16" s="133"/>
      <c r="D16" s="133"/>
      <c r="E16" s="101"/>
      <c r="F16" s="71">
        <v>1.5</v>
      </c>
      <c r="G16" s="72"/>
      <c r="H16" s="73"/>
      <c r="I16" s="74">
        <v>0.880282</v>
      </c>
      <c r="J16" s="75"/>
      <c r="K16" s="76"/>
      <c r="L16" s="100" t="str">
        <f t="shared" si="0"/>
        <v>O.K</v>
      </c>
      <c r="M16" s="101"/>
      <c r="N16" s="71">
        <v>144.666667</v>
      </c>
      <c r="O16" s="72"/>
      <c r="P16" s="73"/>
      <c r="Q16" s="71">
        <v>180</v>
      </c>
      <c r="R16" s="72"/>
      <c r="S16" s="73"/>
      <c r="T16" s="100" t="str">
        <f t="shared" si="1"/>
        <v>O.K</v>
      </c>
      <c r="U16" s="101"/>
      <c r="V16" s="71">
        <v>13.846154</v>
      </c>
      <c r="W16" s="72"/>
      <c r="X16" s="73"/>
      <c r="Y16" s="71">
        <v>14</v>
      </c>
      <c r="Z16" s="72"/>
      <c r="AA16" s="73"/>
      <c r="AB16" s="100" t="str">
        <f t="shared" si="2"/>
        <v>O.K</v>
      </c>
      <c r="AC16" s="101"/>
      <c r="AD16" s="71">
        <v>731.402452</v>
      </c>
      <c r="AE16" s="72"/>
      <c r="AF16" s="72"/>
      <c r="AG16" s="72"/>
      <c r="AH16" s="73"/>
      <c r="AI16" s="71">
        <v>2721.6</v>
      </c>
      <c r="AJ16" s="72"/>
      <c r="AK16" s="72"/>
      <c r="AL16" s="72"/>
      <c r="AM16" s="73"/>
      <c r="AN16" s="100" t="str">
        <f t="shared" si="3"/>
        <v>O.K</v>
      </c>
      <c r="AO16" s="133"/>
      <c r="AP16" s="101"/>
    </row>
    <row r="17" spans="2:42" ht="21" customHeight="1">
      <c r="B17" s="100" t="s">
        <v>180</v>
      </c>
      <c r="C17" s="133"/>
      <c r="D17" s="133"/>
      <c r="E17" s="101"/>
      <c r="F17" s="71">
        <v>1.5</v>
      </c>
      <c r="G17" s="72"/>
      <c r="H17" s="73"/>
      <c r="I17" s="74">
        <v>0.877193</v>
      </c>
      <c r="J17" s="75"/>
      <c r="K17" s="76"/>
      <c r="L17" s="100" t="str">
        <f t="shared" si="0"/>
        <v>O.K</v>
      </c>
      <c r="M17" s="101"/>
      <c r="N17" s="71">
        <v>145</v>
      </c>
      <c r="O17" s="72"/>
      <c r="P17" s="73"/>
      <c r="Q17" s="71">
        <v>180</v>
      </c>
      <c r="R17" s="72"/>
      <c r="S17" s="73"/>
      <c r="T17" s="100" t="str">
        <f t="shared" si="1"/>
        <v>O.K</v>
      </c>
      <c r="U17" s="101"/>
      <c r="V17" s="71">
        <v>13.846154</v>
      </c>
      <c r="W17" s="72"/>
      <c r="X17" s="73"/>
      <c r="Y17" s="71">
        <v>14</v>
      </c>
      <c r="Z17" s="72"/>
      <c r="AA17" s="73"/>
      <c r="AB17" s="100" t="str">
        <f t="shared" si="2"/>
        <v>O.K</v>
      </c>
      <c r="AC17" s="101"/>
      <c r="AD17" s="71">
        <v>739.15577</v>
      </c>
      <c r="AE17" s="72"/>
      <c r="AF17" s="72"/>
      <c r="AG17" s="72"/>
      <c r="AH17" s="73"/>
      <c r="AI17" s="71">
        <v>2721.6</v>
      </c>
      <c r="AJ17" s="72"/>
      <c r="AK17" s="72"/>
      <c r="AL17" s="72"/>
      <c r="AM17" s="73"/>
      <c r="AN17" s="100" t="str">
        <f t="shared" si="3"/>
        <v>O.K</v>
      </c>
      <c r="AO17" s="133"/>
      <c r="AP17" s="101"/>
    </row>
    <row r="18" spans="2:42" ht="21" customHeight="1">
      <c r="B18" s="100" t="s">
        <v>181</v>
      </c>
      <c r="C18" s="133"/>
      <c r="D18" s="133"/>
      <c r="E18" s="101"/>
      <c r="F18" s="71">
        <v>1.5</v>
      </c>
      <c r="G18" s="72"/>
      <c r="H18" s="73"/>
      <c r="I18" s="74">
        <v>0.880282</v>
      </c>
      <c r="J18" s="75"/>
      <c r="K18" s="76"/>
      <c r="L18" s="100" t="str">
        <f t="shared" si="0"/>
        <v>O.K</v>
      </c>
      <c r="M18" s="101"/>
      <c r="N18" s="71">
        <v>144.666667</v>
      </c>
      <c r="O18" s="72"/>
      <c r="P18" s="73"/>
      <c r="Q18" s="71">
        <v>180</v>
      </c>
      <c r="R18" s="72"/>
      <c r="S18" s="73"/>
      <c r="T18" s="100" t="str">
        <f t="shared" si="1"/>
        <v>O.K</v>
      </c>
      <c r="U18" s="101"/>
      <c r="V18" s="71">
        <v>13.846154</v>
      </c>
      <c r="W18" s="72"/>
      <c r="X18" s="73"/>
      <c r="Y18" s="71">
        <v>14</v>
      </c>
      <c r="Z18" s="72"/>
      <c r="AA18" s="73"/>
      <c r="AB18" s="100" t="str">
        <f t="shared" si="2"/>
        <v>O.K</v>
      </c>
      <c r="AC18" s="101"/>
      <c r="AD18" s="71">
        <v>731.402452</v>
      </c>
      <c r="AE18" s="72"/>
      <c r="AF18" s="72"/>
      <c r="AG18" s="72"/>
      <c r="AH18" s="73"/>
      <c r="AI18" s="71">
        <v>2721.6</v>
      </c>
      <c r="AJ18" s="72"/>
      <c r="AK18" s="72"/>
      <c r="AL18" s="72"/>
      <c r="AM18" s="73"/>
      <c r="AN18" s="100" t="str">
        <f t="shared" si="3"/>
        <v>O.K</v>
      </c>
      <c r="AO18" s="133"/>
      <c r="AP18" s="101"/>
    </row>
    <row r="19" spans="2:42" ht="21" customHeight="1">
      <c r="B19" s="100" t="s">
        <v>182</v>
      </c>
      <c r="C19" s="133"/>
      <c r="D19" s="133"/>
      <c r="E19" s="101"/>
      <c r="F19" s="71">
        <v>1.5</v>
      </c>
      <c r="G19" s="72"/>
      <c r="H19" s="73"/>
      <c r="I19" s="74">
        <v>0.880282</v>
      </c>
      <c r="J19" s="75"/>
      <c r="K19" s="76"/>
      <c r="L19" s="100" t="str">
        <f t="shared" si="0"/>
        <v>O.K</v>
      </c>
      <c r="M19" s="101"/>
      <c r="N19" s="71">
        <v>144.666667</v>
      </c>
      <c r="O19" s="72"/>
      <c r="P19" s="73"/>
      <c r="Q19" s="71">
        <v>180</v>
      </c>
      <c r="R19" s="72"/>
      <c r="S19" s="73"/>
      <c r="T19" s="100" t="str">
        <f t="shared" si="1"/>
        <v>O.K</v>
      </c>
      <c r="U19" s="101"/>
      <c r="V19" s="71">
        <v>13.846154</v>
      </c>
      <c r="W19" s="72"/>
      <c r="X19" s="73"/>
      <c r="Y19" s="71">
        <v>14</v>
      </c>
      <c r="Z19" s="72"/>
      <c r="AA19" s="73"/>
      <c r="AB19" s="100" t="str">
        <f t="shared" si="2"/>
        <v>O.K</v>
      </c>
      <c r="AC19" s="101"/>
      <c r="AD19" s="71">
        <v>731.402452</v>
      </c>
      <c r="AE19" s="72"/>
      <c r="AF19" s="72"/>
      <c r="AG19" s="72"/>
      <c r="AH19" s="73"/>
      <c r="AI19" s="71">
        <v>2721.6</v>
      </c>
      <c r="AJ19" s="72"/>
      <c r="AK19" s="72"/>
      <c r="AL19" s="72"/>
      <c r="AM19" s="73"/>
      <c r="AN19" s="100" t="str">
        <f t="shared" si="3"/>
        <v>O.K</v>
      </c>
      <c r="AO19" s="133"/>
      <c r="AP19" s="101"/>
    </row>
    <row r="20" spans="2:42" ht="21" customHeight="1">
      <c r="B20" s="100" t="s">
        <v>183</v>
      </c>
      <c r="C20" s="133"/>
      <c r="D20" s="133"/>
      <c r="E20" s="101"/>
      <c r="F20" s="71">
        <v>1.5</v>
      </c>
      <c r="G20" s="72"/>
      <c r="H20" s="73"/>
      <c r="I20" s="74">
        <v>0.880282</v>
      </c>
      <c r="J20" s="75"/>
      <c r="K20" s="76"/>
      <c r="L20" s="100" t="str">
        <f t="shared" si="0"/>
        <v>O.K</v>
      </c>
      <c r="M20" s="101"/>
      <c r="N20" s="71">
        <v>144.666667</v>
      </c>
      <c r="O20" s="72"/>
      <c r="P20" s="73"/>
      <c r="Q20" s="71">
        <v>180</v>
      </c>
      <c r="R20" s="72"/>
      <c r="S20" s="73"/>
      <c r="T20" s="100" t="str">
        <f t="shared" si="1"/>
        <v>O.K</v>
      </c>
      <c r="U20" s="101"/>
      <c r="V20" s="71">
        <v>13.846154</v>
      </c>
      <c r="W20" s="72"/>
      <c r="X20" s="73"/>
      <c r="Y20" s="71">
        <v>14</v>
      </c>
      <c r="Z20" s="72"/>
      <c r="AA20" s="73"/>
      <c r="AB20" s="100" t="str">
        <f t="shared" si="2"/>
        <v>O.K</v>
      </c>
      <c r="AC20" s="101"/>
      <c r="AD20" s="71">
        <v>731.402452</v>
      </c>
      <c r="AE20" s="72"/>
      <c r="AF20" s="72"/>
      <c r="AG20" s="72"/>
      <c r="AH20" s="73"/>
      <c r="AI20" s="71">
        <v>2721.6</v>
      </c>
      <c r="AJ20" s="72"/>
      <c r="AK20" s="72"/>
      <c r="AL20" s="72"/>
      <c r="AM20" s="73"/>
      <c r="AN20" s="100" t="str">
        <f t="shared" si="3"/>
        <v>O.K</v>
      </c>
      <c r="AO20" s="133"/>
      <c r="AP20" s="101"/>
    </row>
    <row r="21" spans="2:42" ht="21" customHeight="1">
      <c r="B21" s="100" t="s">
        <v>184</v>
      </c>
      <c r="C21" s="133"/>
      <c r="D21" s="133"/>
      <c r="E21" s="101"/>
      <c r="F21" s="71">
        <v>1.5</v>
      </c>
      <c r="G21" s="72"/>
      <c r="H21" s="73"/>
      <c r="I21" s="74">
        <v>0.877193</v>
      </c>
      <c r="J21" s="75"/>
      <c r="K21" s="76"/>
      <c r="L21" s="100" t="str">
        <f t="shared" si="0"/>
        <v>O.K</v>
      </c>
      <c r="M21" s="101"/>
      <c r="N21" s="71">
        <v>145</v>
      </c>
      <c r="O21" s="72"/>
      <c r="P21" s="73"/>
      <c r="Q21" s="71">
        <v>180</v>
      </c>
      <c r="R21" s="72"/>
      <c r="S21" s="73"/>
      <c r="T21" s="100" t="str">
        <f t="shared" si="1"/>
        <v>O.K</v>
      </c>
      <c r="U21" s="101"/>
      <c r="V21" s="71">
        <v>13.846154</v>
      </c>
      <c r="W21" s="72"/>
      <c r="X21" s="73"/>
      <c r="Y21" s="71">
        <v>14</v>
      </c>
      <c r="Z21" s="72"/>
      <c r="AA21" s="73"/>
      <c r="AB21" s="100" t="str">
        <f t="shared" si="2"/>
        <v>O.K</v>
      </c>
      <c r="AC21" s="101"/>
      <c r="AD21" s="71">
        <v>739.15577</v>
      </c>
      <c r="AE21" s="72"/>
      <c r="AF21" s="72"/>
      <c r="AG21" s="72"/>
      <c r="AH21" s="73"/>
      <c r="AI21" s="71">
        <v>2721.6</v>
      </c>
      <c r="AJ21" s="72"/>
      <c r="AK21" s="72"/>
      <c r="AL21" s="72"/>
      <c r="AM21" s="73"/>
      <c r="AN21" s="100" t="str">
        <f t="shared" si="3"/>
        <v>O.K</v>
      </c>
      <c r="AO21" s="133"/>
      <c r="AP21" s="101"/>
    </row>
    <row r="22" spans="2:42" ht="21" customHeight="1">
      <c r="B22" s="100" t="s">
        <v>185</v>
      </c>
      <c r="C22" s="133"/>
      <c r="D22" s="133"/>
      <c r="E22" s="101"/>
      <c r="F22" s="71">
        <v>1.5</v>
      </c>
      <c r="G22" s="72"/>
      <c r="H22" s="73"/>
      <c r="I22" s="74">
        <v>0.877193</v>
      </c>
      <c r="J22" s="75"/>
      <c r="K22" s="76"/>
      <c r="L22" s="100" t="str">
        <f t="shared" si="0"/>
        <v>O.K</v>
      </c>
      <c r="M22" s="101"/>
      <c r="N22" s="71">
        <v>145</v>
      </c>
      <c r="O22" s="72"/>
      <c r="P22" s="73"/>
      <c r="Q22" s="71">
        <v>180</v>
      </c>
      <c r="R22" s="72"/>
      <c r="S22" s="73"/>
      <c r="T22" s="100" t="str">
        <f t="shared" si="1"/>
        <v>O.K</v>
      </c>
      <c r="U22" s="101"/>
      <c r="V22" s="71">
        <v>13.846154</v>
      </c>
      <c r="W22" s="72"/>
      <c r="X22" s="73"/>
      <c r="Y22" s="71">
        <v>14</v>
      </c>
      <c r="Z22" s="72"/>
      <c r="AA22" s="73"/>
      <c r="AB22" s="100" t="str">
        <f t="shared" si="2"/>
        <v>O.K</v>
      </c>
      <c r="AC22" s="101"/>
      <c r="AD22" s="71">
        <v>739.15577</v>
      </c>
      <c r="AE22" s="72"/>
      <c r="AF22" s="72"/>
      <c r="AG22" s="72"/>
      <c r="AH22" s="73"/>
      <c r="AI22" s="71">
        <v>2721.6</v>
      </c>
      <c r="AJ22" s="72"/>
      <c r="AK22" s="72"/>
      <c r="AL22" s="72"/>
      <c r="AM22" s="73"/>
      <c r="AN22" s="100" t="str">
        <f t="shared" si="3"/>
        <v>O.K</v>
      </c>
      <c r="AO22" s="133"/>
      <c r="AP22" s="101"/>
    </row>
    <row r="23" spans="2:42" ht="21" customHeight="1">
      <c r="B23" s="100" t="s">
        <v>186</v>
      </c>
      <c r="C23" s="133"/>
      <c r="D23" s="133"/>
      <c r="E23" s="101"/>
      <c r="F23" s="71">
        <v>1.5</v>
      </c>
      <c r="G23" s="72"/>
      <c r="H23" s="73"/>
      <c r="I23" s="74">
        <v>0.880282</v>
      </c>
      <c r="J23" s="75"/>
      <c r="K23" s="76"/>
      <c r="L23" s="100" t="str">
        <f t="shared" si="0"/>
        <v>O.K</v>
      </c>
      <c r="M23" s="101"/>
      <c r="N23" s="71">
        <v>144.666667</v>
      </c>
      <c r="O23" s="72"/>
      <c r="P23" s="73"/>
      <c r="Q23" s="71">
        <v>180</v>
      </c>
      <c r="R23" s="72"/>
      <c r="S23" s="73"/>
      <c r="T23" s="100" t="str">
        <f t="shared" si="1"/>
        <v>O.K</v>
      </c>
      <c r="U23" s="101"/>
      <c r="V23" s="71">
        <v>13.846154</v>
      </c>
      <c r="W23" s="72"/>
      <c r="X23" s="73"/>
      <c r="Y23" s="71">
        <v>14</v>
      </c>
      <c r="Z23" s="72"/>
      <c r="AA23" s="73"/>
      <c r="AB23" s="100" t="str">
        <f t="shared" si="2"/>
        <v>O.K</v>
      </c>
      <c r="AC23" s="101"/>
      <c r="AD23" s="71">
        <v>731.402452</v>
      </c>
      <c r="AE23" s="72"/>
      <c r="AF23" s="72"/>
      <c r="AG23" s="72"/>
      <c r="AH23" s="73"/>
      <c r="AI23" s="71">
        <v>2721.6</v>
      </c>
      <c r="AJ23" s="72"/>
      <c r="AK23" s="72"/>
      <c r="AL23" s="72"/>
      <c r="AM23" s="73"/>
      <c r="AN23" s="100" t="str">
        <f t="shared" si="3"/>
        <v>O.K</v>
      </c>
      <c r="AO23" s="133"/>
      <c r="AP23" s="101"/>
    </row>
    <row r="24" spans="2:42" ht="21" customHeight="1">
      <c r="B24" s="100" t="s">
        <v>187</v>
      </c>
      <c r="C24" s="133"/>
      <c r="D24" s="133"/>
      <c r="E24" s="101"/>
      <c r="F24" s="71">
        <v>1.5</v>
      </c>
      <c r="G24" s="72"/>
      <c r="H24" s="73"/>
      <c r="I24" s="74">
        <v>0.880282</v>
      </c>
      <c r="J24" s="75"/>
      <c r="K24" s="76"/>
      <c r="L24" s="100" t="str">
        <f t="shared" si="0"/>
        <v>O.K</v>
      </c>
      <c r="M24" s="101"/>
      <c r="N24" s="71">
        <v>144.666667</v>
      </c>
      <c r="O24" s="72"/>
      <c r="P24" s="73"/>
      <c r="Q24" s="71">
        <v>180</v>
      </c>
      <c r="R24" s="72"/>
      <c r="S24" s="73"/>
      <c r="T24" s="100" t="str">
        <f t="shared" si="1"/>
        <v>O.K</v>
      </c>
      <c r="U24" s="101"/>
      <c r="V24" s="71">
        <v>13.846154</v>
      </c>
      <c r="W24" s="72"/>
      <c r="X24" s="73"/>
      <c r="Y24" s="71">
        <v>14</v>
      </c>
      <c r="Z24" s="72"/>
      <c r="AA24" s="73"/>
      <c r="AB24" s="100" t="str">
        <f t="shared" si="2"/>
        <v>O.K</v>
      </c>
      <c r="AC24" s="101"/>
      <c r="AD24" s="71">
        <v>731.402452</v>
      </c>
      <c r="AE24" s="72"/>
      <c r="AF24" s="72"/>
      <c r="AG24" s="72"/>
      <c r="AH24" s="73"/>
      <c r="AI24" s="71">
        <v>2721.6</v>
      </c>
      <c r="AJ24" s="72"/>
      <c r="AK24" s="72"/>
      <c r="AL24" s="72"/>
      <c r="AM24" s="73"/>
      <c r="AN24" s="100" t="str">
        <f t="shared" si="3"/>
        <v>O.K</v>
      </c>
      <c r="AO24" s="133"/>
      <c r="AP24" s="101"/>
    </row>
    <row r="25" spans="2:42" ht="21" customHeight="1">
      <c r="B25" s="100" t="s">
        <v>188</v>
      </c>
      <c r="C25" s="133"/>
      <c r="D25" s="133"/>
      <c r="E25" s="101"/>
      <c r="F25" s="71">
        <v>1.5</v>
      </c>
      <c r="G25" s="72"/>
      <c r="H25" s="73"/>
      <c r="I25" s="74">
        <v>0.880282</v>
      </c>
      <c r="J25" s="75"/>
      <c r="K25" s="76"/>
      <c r="L25" s="100" t="str">
        <f t="shared" si="0"/>
        <v>O.K</v>
      </c>
      <c r="M25" s="101"/>
      <c r="N25" s="71">
        <v>144.666667</v>
      </c>
      <c r="O25" s="72"/>
      <c r="P25" s="73"/>
      <c r="Q25" s="71">
        <v>180</v>
      </c>
      <c r="R25" s="72"/>
      <c r="S25" s="73"/>
      <c r="T25" s="100" t="str">
        <f t="shared" si="1"/>
        <v>O.K</v>
      </c>
      <c r="U25" s="101"/>
      <c r="V25" s="71">
        <v>13.846154</v>
      </c>
      <c r="W25" s="72"/>
      <c r="X25" s="73"/>
      <c r="Y25" s="71">
        <v>14</v>
      </c>
      <c r="Z25" s="72"/>
      <c r="AA25" s="73"/>
      <c r="AB25" s="100" t="str">
        <f t="shared" si="2"/>
        <v>O.K</v>
      </c>
      <c r="AC25" s="101"/>
      <c r="AD25" s="71">
        <v>731.402452</v>
      </c>
      <c r="AE25" s="72"/>
      <c r="AF25" s="72"/>
      <c r="AG25" s="72"/>
      <c r="AH25" s="73"/>
      <c r="AI25" s="71">
        <v>2721.6</v>
      </c>
      <c r="AJ25" s="72"/>
      <c r="AK25" s="72"/>
      <c r="AL25" s="72"/>
      <c r="AM25" s="73"/>
      <c r="AN25" s="100" t="str">
        <f t="shared" si="3"/>
        <v>O.K</v>
      </c>
      <c r="AO25" s="133"/>
      <c r="AP25" s="101"/>
    </row>
    <row r="26" spans="2:42" ht="21" customHeight="1">
      <c r="B26" s="100" t="s">
        <v>189</v>
      </c>
      <c r="C26" s="133"/>
      <c r="D26" s="133"/>
      <c r="E26" s="101"/>
      <c r="F26" s="71">
        <v>1.5</v>
      </c>
      <c r="G26" s="72"/>
      <c r="H26" s="73"/>
      <c r="I26" s="74">
        <v>0.880282</v>
      </c>
      <c r="J26" s="75"/>
      <c r="K26" s="76"/>
      <c r="L26" s="100" t="str">
        <f t="shared" si="0"/>
        <v>O.K</v>
      </c>
      <c r="M26" s="101"/>
      <c r="N26" s="71">
        <v>144.666667</v>
      </c>
      <c r="O26" s="72"/>
      <c r="P26" s="73"/>
      <c r="Q26" s="71">
        <v>180</v>
      </c>
      <c r="R26" s="72"/>
      <c r="S26" s="73"/>
      <c r="T26" s="100" t="str">
        <f t="shared" si="1"/>
        <v>O.K</v>
      </c>
      <c r="U26" s="101"/>
      <c r="V26" s="71">
        <v>13.846154</v>
      </c>
      <c r="W26" s="72"/>
      <c r="X26" s="73"/>
      <c r="Y26" s="71">
        <v>14</v>
      </c>
      <c r="Z26" s="72"/>
      <c r="AA26" s="73"/>
      <c r="AB26" s="100" t="str">
        <f t="shared" si="2"/>
        <v>O.K</v>
      </c>
      <c r="AC26" s="101"/>
      <c r="AD26" s="71">
        <v>731.402452</v>
      </c>
      <c r="AE26" s="72"/>
      <c r="AF26" s="72"/>
      <c r="AG26" s="72"/>
      <c r="AH26" s="73"/>
      <c r="AI26" s="71">
        <v>2721.6</v>
      </c>
      <c r="AJ26" s="72"/>
      <c r="AK26" s="72"/>
      <c r="AL26" s="72"/>
      <c r="AM26" s="73"/>
      <c r="AN26" s="100" t="str">
        <f t="shared" si="3"/>
        <v>O.K</v>
      </c>
      <c r="AO26" s="133"/>
      <c r="AP26" s="101"/>
    </row>
    <row r="27" spans="2:42" ht="21" customHeight="1">
      <c r="B27" s="100" t="s">
        <v>190</v>
      </c>
      <c r="C27" s="133"/>
      <c r="D27" s="133"/>
      <c r="E27" s="101"/>
      <c r="F27" s="71">
        <v>1.5</v>
      </c>
      <c r="G27" s="72"/>
      <c r="H27" s="73"/>
      <c r="I27" s="74">
        <v>0.880282</v>
      </c>
      <c r="J27" s="75"/>
      <c r="K27" s="76"/>
      <c r="L27" s="100" t="str">
        <f t="shared" si="0"/>
        <v>O.K</v>
      </c>
      <c r="M27" s="101"/>
      <c r="N27" s="71">
        <v>144.666667</v>
      </c>
      <c r="O27" s="72"/>
      <c r="P27" s="73"/>
      <c r="Q27" s="71">
        <v>180</v>
      </c>
      <c r="R27" s="72"/>
      <c r="S27" s="73"/>
      <c r="T27" s="100" t="str">
        <f t="shared" si="1"/>
        <v>O.K</v>
      </c>
      <c r="U27" s="101"/>
      <c r="V27" s="71">
        <v>13.846154</v>
      </c>
      <c r="W27" s="72"/>
      <c r="X27" s="73"/>
      <c r="Y27" s="71">
        <v>14</v>
      </c>
      <c r="Z27" s="72"/>
      <c r="AA27" s="73"/>
      <c r="AB27" s="100" t="str">
        <f t="shared" si="2"/>
        <v>O.K</v>
      </c>
      <c r="AC27" s="101"/>
      <c r="AD27" s="71">
        <v>731.402452</v>
      </c>
      <c r="AE27" s="72"/>
      <c r="AF27" s="72"/>
      <c r="AG27" s="72"/>
      <c r="AH27" s="73"/>
      <c r="AI27" s="71">
        <v>2721.6</v>
      </c>
      <c r="AJ27" s="72"/>
      <c r="AK27" s="72"/>
      <c r="AL27" s="72"/>
      <c r="AM27" s="73"/>
      <c r="AN27" s="100" t="str">
        <f t="shared" si="3"/>
        <v>O.K</v>
      </c>
      <c r="AO27" s="133"/>
      <c r="AP27" s="101"/>
    </row>
    <row r="28" spans="2:42" ht="21" customHeight="1">
      <c r="B28" s="100" t="s">
        <v>191</v>
      </c>
      <c r="C28" s="133"/>
      <c r="D28" s="133"/>
      <c r="E28" s="101"/>
      <c r="F28" s="71">
        <v>1.5</v>
      </c>
      <c r="G28" s="72"/>
      <c r="H28" s="73"/>
      <c r="I28" s="74">
        <v>0.880282</v>
      </c>
      <c r="J28" s="75"/>
      <c r="K28" s="76"/>
      <c r="L28" s="100" t="str">
        <f t="shared" si="0"/>
        <v>O.K</v>
      </c>
      <c r="M28" s="101"/>
      <c r="N28" s="71">
        <v>144.666667</v>
      </c>
      <c r="O28" s="72"/>
      <c r="P28" s="73"/>
      <c r="Q28" s="71">
        <v>180</v>
      </c>
      <c r="R28" s="72"/>
      <c r="S28" s="73"/>
      <c r="T28" s="100" t="str">
        <f t="shared" si="1"/>
        <v>O.K</v>
      </c>
      <c r="U28" s="101"/>
      <c r="V28" s="71">
        <v>13.846154</v>
      </c>
      <c r="W28" s="72"/>
      <c r="X28" s="73"/>
      <c r="Y28" s="71">
        <v>14</v>
      </c>
      <c r="Z28" s="72"/>
      <c r="AA28" s="73"/>
      <c r="AB28" s="100" t="str">
        <f t="shared" si="2"/>
        <v>O.K</v>
      </c>
      <c r="AC28" s="101"/>
      <c r="AD28" s="71">
        <v>731.402452</v>
      </c>
      <c r="AE28" s="72"/>
      <c r="AF28" s="72"/>
      <c r="AG28" s="72"/>
      <c r="AH28" s="73"/>
      <c r="AI28" s="71">
        <v>2721.6</v>
      </c>
      <c r="AJ28" s="72"/>
      <c r="AK28" s="72"/>
      <c r="AL28" s="72"/>
      <c r="AM28" s="73"/>
      <c r="AN28" s="100" t="str">
        <f t="shared" si="3"/>
        <v>O.K</v>
      </c>
      <c r="AO28" s="133"/>
      <c r="AP28" s="101"/>
    </row>
    <row r="29" spans="2:42" ht="21" customHeight="1">
      <c r="B29" s="100" t="s">
        <v>192</v>
      </c>
      <c r="C29" s="133"/>
      <c r="D29" s="133"/>
      <c r="E29" s="101"/>
      <c r="F29" s="71">
        <v>1.5</v>
      </c>
      <c r="G29" s="72"/>
      <c r="H29" s="73"/>
      <c r="I29" s="74">
        <v>0.874126</v>
      </c>
      <c r="J29" s="75"/>
      <c r="K29" s="76"/>
      <c r="L29" s="100" t="str">
        <f t="shared" si="0"/>
        <v>O.K</v>
      </c>
      <c r="M29" s="101"/>
      <c r="N29" s="71">
        <v>145.333333</v>
      </c>
      <c r="O29" s="72"/>
      <c r="P29" s="73"/>
      <c r="Q29" s="71">
        <v>180</v>
      </c>
      <c r="R29" s="72"/>
      <c r="S29" s="73"/>
      <c r="T29" s="100" t="str">
        <f t="shared" si="1"/>
        <v>O.K</v>
      </c>
      <c r="U29" s="101"/>
      <c r="V29" s="71">
        <v>13.846154</v>
      </c>
      <c r="W29" s="72"/>
      <c r="X29" s="73"/>
      <c r="Y29" s="71">
        <v>14</v>
      </c>
      <c r="Z29" s="72"/>
      <c r="AA29" s="73"/>
      <c r="AB29" s="100" t="str">
        <f t="shared" si="2"/>
        <v>O.K</v>
      </c>
      <c r="AC29" s="101"/>
      <c r="AD29" s="71">
        <v>746.963689</v>
      </c>
      <c r="AE29" s="72"/>
      <c r="AF29" s="72"/>
      <c r="AG29" s="72"/>
      <c r="AH29" s="73"/>
      <c r="AI29" s="71">
        <v>2721.6</v>
      </c>
      <c r="AJ29" s="72"/>
      <c r="AK29" s="72"/>
      <c r="AL29" s="72"/>
      <c r="AM29" s="73"/>
      <c r="AN29" s="100" t="str">
        <f t="shared" si="3"/>
        <v>O.K</v>
      </c>
      <c r="AO29" s="133"/>
      <c r="AP29" s="101"/>
    </row>
    <row r="30" spans="2:42" ht="21" customHeight="1">
      <c r="B30" s="100" t="s">
        <v>193</v>
      </c>
      <c r="C30" s="133"/>
      <c r="D30" s="133"/>
      <c r="E30" s="101"/>
      <c r="F30" s="71">
        <v>1.5</v>
      </c>
      <c r="G30" s="72"/>
      <c r="H30" s="73"/>
      <c r="I30" s="74">
        <v>0.874126</v>
      </c>
      <c r="J30" s="75"/>
      <c r="K30" s="76"/>
      <c r="L30" s="100" t="str">
        <f t="shared" si="0"/>
        <v>O.K</v>
      </c>
      <c r="M30" s="101"/>
      <c r="N30" s="71">
        <v>145.333333</v>
      </c>
      <c r="O30" s="72"/>
      <c r="P30" s="73"/>
      <c r="Q30" s="71">
        <v>180</v>
      </c>
      <c r="R30" s="72"/>
      <c r="S30" s="73"/>
      <c r="T30" s="100" t="str">
        <f t="shared" si="1"/>
        <v>O.K</v>
      </c>
      <c r="U30" s="101"/>
      <c r="V30" s="71">
        <v>13.846154</v>
      </c>
      <c r="W30" s="72"/>
      <c r="X30" s="73"/>
      <c r="Y30" s="71">
        <v>14</v>
      </c>
      <c r="Z30" s="72"/>
      <c r="AA30" s="73"/>
      <c r="AB30" s="100" t="str">
        <f t="shared" si="2"/>
        <v>O.K</v>
      </c>
      <c r="AC30" s="101"/>
      <c r="AD30" s="71">
        <v>746.963689</v>
      </c>
      <c r="AE30" s="72"/>
      <c r="AF30" s="72"/>
      <c r="AG30" s="72"/>
      <c r="AH30" s="73"/>
      <c r="AI30" s="71">
        <v>2721.6</v>
      </c>
      <c r="AJ30" s="72"/>
      <c r="AK30" s="72"/>
      <c r="AL30" s="72"/>
      <c r="AM30" s="73"/>
      <c r="AN30" s="100" t="str">
        <f t="shared" si="3"/>
        <v>O.K</v>
      </c>
      <c r="AO30" s="133"/>
      <c r="AP30" s="101"/>
    </row>
    <row r="31" spans="2:42" ht="21" customHeight="1">
      <c r="B31" s="100" t="s">
        <v>194</v>
      </c>
      <c r="C31" s="133"/>
      <c r="D31" s="133"/>
      <c r="E31" s="101"/>
      <c r="F31" s="71">
        <v>1.5</v>
      </c>
      <c r="G31" s="72"/>
      <c r="H31" s="73"/>
      <c r="I31" s="74">
        <v>0.874126</v>
      </c>
      <c r="J31" s="75"/>
      <c r="K31" s="76"/>
      <c r="L31" s="100" t="str">
        <f t="shared" si="0"/>
        <v>O.K</v>
      </c>
      <c r="M31" s="101"/>
      <c r="N31" s="71">
        <v>145.333333</v>
      </c>
      <c r="O31" s="72"/>
      <c r="P31" s="73"/>
      <c r="Q31" s="71">
        <v>180</v>
      </c>
      <c r="R31" s="72"/>
      <c r="S31" s="73"/>
      <c r="T31" s="100" t="str">
        <f t="shared" si="1"/>
        <v>O.K</v>
      </c>
      <c r="U31" s="101"/>
      <c r="V31" s="71">
        <v>13.846154</v>
      </c>
      <c r="W31" s="72"/>
      <c r="X31" s="73"/>
      <c r="Y31" s="71">
        <v>14</v>
      </c>
      <c r="Z31" s="72"/>
      <c r="AA31" s="73"/>
      <c r="AB31" s="100" t="str">
        <f t="shared" si="2"/>
        <v>O.K</v>
      </c>
      <c r="AC31" s="101"/>
      <c r="AD31" s="71">
        <v>746.963689</v>
      </c>
      <c r="AE31" s="72"/>
      <c r="AF31" s="72"/>
      <c r="AG31" s="72"/>
      <c r="AH31" s="73"/>
      <c r="AI31" s="71">
        <v>2721.6</v>
      </c>
      <c r="AJ31" s="72"/>
      <c r="AK31" s="72"/>
      <c r="AL31" s="72"/>
      <c r="AM31" s="73"/>
      <c r="AN31" s="100" t="str">
        <f t="shared" si="3"/>
        <v>O.K</v>
      </c>
      <c r="AO31" s="133"/>
      <c r="AP31" s="101"/>
    </row>
    <row r="32" spans="2:42" ht="21" customHeight="1">
      <c r="B32" s="100" t="s">
        <v>195</v>
      </c>
      <c r="C32" s="133"/>
      <c r="D32" s="133"/>
      <c r="E32" s="101"/>
      <c r="F32" s="71">
        <v>1.5</v>
      </c>
      <c r="G32" s="72"/>
      <c r="H32" s="73"/>
      <c r="I32" s="74">
        <v>0.880282</v>
      </c>
      <c r="J32" s="75"/>
      <c r="K32" s="76"/>
      <c r="L32" s="100" t="str">
        <f t="shared" si="0"/>
        <v>O.K</v>
      </c>
      <c r="M32" s="101"/>
      <c r="N32" s="71">
        <v>144.666667</v>
      </c>
      <c r="O32" s="72"/>
      <c r="P32" s="73"/>
      <c r="Q32" s="71">
        <v>180</v>
      </c>
      <c r="R32" s="72"/>
      <c r="S32" s="73"/>
      <c r="T32" s="100" t="str">
        <f t="shared" si="1"/>
        <v>O.K</v>
      </c>
      <c r="U32" s="101"/>
      <c r="V32" s="71">
        <v>13.846154</v>
      </c>
      <c r="W32" s="72"/>
      <c r="X32" s="73"/>
      <c r="Y32" s="71">
        <v>14</v>
      </c>
      <c r="Z32" s="72"/>
      <c r="AA32" s="73"/>
      <c r="AB32" s="100" t="str">
        <f t="shared" si="2"/>
        <v>O.K</v>
      </c>
      <c r="AC32" s="101"/>
      <c r="AD32" s="71">
        <v>731.402452</v>
      </c>
      <c r="AE32" s="72"/>
      <c r="AF32" s="72"/>
      <c r="AG32" s="72"/>
      <c r="AH32" s="73"/>
      <c r="AI32" s="71">
        <v>2721.6</v>
      </c>
      <c r="AJ32" s="72"/>
      <c r="AK32" s="72"/>
      <c r="AL32" s="72"/>
      <c r="AM32" s="73"/>
      <c r="AN32" s="100" t="str">
        <f t="shared" si="3"/>
        <v>O.K</v>
      </c>
      <c r="AO32" s="133"/>
      <c r="AP32" s="101"/>
    </row>
    <row r="33" spans="2:42" ht="21" customHeight="1">
      <c r="B33" s="100" t="s">
        <v>196</v>
      </c>
      <c r="C33" s="133"/>
      <c r="D33" s="133"/>
      <c r="E33" s="101"/>
      <c r="F33" s="71">
        <v>1.5</v>
      </c>
      <c r="G33" s="72"/>
      <c r="H33" s="73"/>
      <c r="I33" s="74">
        <v>0.880282</v>
      </c>
      <c r="J33" s="75"/>
      <c r="K33" s="76"/>
      <c r="L33" s="100" t="str">
        <f t="shared" si="0"/>
        <v>O.K</v>
      </c>
      <c r="M33" s="101"/>
      <c r="N33" s="71">
        <v>144.666667</v>
      </c>
      <c r="O33" s="72"/>
      <c r="P33" s="73"/>
      <c r="Q33" s="71">
        <v>180</v>
      </c>
      <c r="R33" s="72"/>
      <c r="S33" s="73"/>
      <c r="T33" s="100" t="str">
        <f t="shared" si="1"/>
        <v>O.K</v>
      </c>
      <c r="U33" s="101"/>
      <c r="V33" s="71">
        <v>13.846154</v>
      </c>
      <c r="W33" s="72"/>
      <c r="X33" s="73"/>
      <c r="Y33" s="71">
        <v>14</v>
      </c>
      <c r="Z33" s="72"/>
      <c r="AA33" s="73"/>
      <c r="AB33" s="100" t="str">
        <f t="shared" si="2"/>
        <v>O.K</v>
      </c>
      <c r="AC33" s="101"/>
      <c r="AD33" s="71">
        <v>731.402452</v>
      </c>
      <c r="AE33" s="72"/>
      <c r="AF33" s="72"/>
      <c r="AG33" s="72"/>
      <c r="AH33" s="73"/>
      <c r="AI33" s="71">
        <v>2721.6</v>
      </c>
      <c r="AJ33" s="72"/>
      <c r="AK33" s="72"/>
      <c r="AL33" s="72"/>
      <c r="AM33" s="73"/>
      <c r="AN33" s="100" t="str">
        <f t="shared" si="3"/>
        <v>O.K</v>
      </c>
      <c r="AO33" s="133"/>
      <c r="AP33" s="101"/>
    </row>
    <row r="34" spans="2:42" ht="21" customHeight="1">
      <c r="B34" s="100" t="s">
        <v>197</v>
      </c>
      <c r="C34" s="133"/>
      <c r="D34" s="133"/>
      <c r="E34" s="101"/>
      <c r="F34" s="71">
        <v>1.5</v>
      </c>
      <c r="G34" s="72"/>
      <c r="H34" s="73"/>
      <c r="I34" s="74">
        <v>0.880282</v>
      </c>
      <c r="J34" s="75"/>
      <c r="K34" s="76"/>
      <c r="L34" s="100" t="str">
        <f t="shared" si="0"/>
        <v>O.K</v>
      </c>
      <c r="M34" s="101"/>
      <c r="N34" s="71">
        <v>144.666667</v>
      </c>
      <c r="O34" s="72"/>
      <c r="P34" s="73"/>
      <c r="Q34" s="71">
        <v>180</v>
      </c>
      <c r="R34" s="72"/>
      <c r="S34" s="73"/>
      <c r="T34" s="100" t="str">
        <f t="shared" si="1"/>
        <v>O.K</v>
      </c>
      <c r="U34" s="101"/>
      <c r="V34" s="71">
        <v>13.846154</v>
      </c>
      <c r="W34" s="72"/>
      <c r="X34" s="73"/>
      <c r="Y34" s="71">
        <v>14</v>
      </c>
      <c r="Z34" s="72"/>
      <c r="AA34" s="73"/>
      <c r="AB34" s="100" t="str">
        <f t="shared" si="2"/>
        <v>O.K</v>
      </c>
      <c r="AC34" s="101"/>
      <c r="AD34" s="71">
        <v>731.402452</v>
      </c>
      <c r="AE34" s="72"/>
      <c r="AF34" s="72"/>
      <c r="AG34" s="72"/>
      <c r="AH34" s="73"/>
      <c r="AI34" s="71">
        <v>2721.6</v>
      </c>
      <c r="AJ34" s="72"/>
      <c r="AK34" s="72"/>
      <c r="AL34" s="72"/>
      <c r="AM34" s="73"/>
      <c r="AN34" s="100" t="str">
        <f t="shared" si="3"/>
        <v>O.K</v>
      </c>
      <c r="AO34" s="133"/>
      <c r="AP34" s="101"/>
    </row>
    <row r="35" spans="2:42" ht="21" customHeight="1">
      <c r="B35" s="100" t="s">
        <v>198</v>
      </c>
      <c r="C35" s="133"/>
      <c r="D35" s="133"/>
      <c r="E35" s="101"/>
      <c r="F35" s="71">
        <v>1.5</v>
      </c>
      <c r="G35" s="72"/>
      <c r="H35" s="73"/>
      <c r="I35" s="74">
        <v>0.880282</v>
      </c>
      <c r="J35" s="75"/>
      <c r="K35" s="76"/>
      <c r="L35" s="100" t="str">
        <f t="shared" si="0"/>
        <v>O.K</v>
      </c>
      <c r="M35" s="101"/>
      <c r="N35" s="71">
        <v>144.666667</v>
      </c>
      <c r="O35" s="72"/>
      <c r="P35" s="73"/>
      <c r="Q35" s="71">
        <v>180</v>
      </c>
      <c r="R35" s="72"/>
      <c r="S35" s="73"/>
      <c r="T35" s="100" t="str">
        <f t="shared" si="1"/>
        <v>O.K</v>
      </c>
      <c r="U35" s="101"/>
      <c r="V35" s="71">
        <v>13.846154</v>
      </c>
      <c r="W35" s="72"/>
      <c r="X35" s="73"/>
      <c r="Y35" s="71">
        <v>14</v>
      </c>
      <c r="Z35" s="72"/>
      <c r="AA35" s="73"/>
      <c r="AB35" s="100" t="str">
        <f t="shared" si="2"/>
        <v>O.K</v>
      </c>
      <c r="AC35" s="101"/>
      <c r="AD35" s="71">
        <v>731.402452</v>
      </c>
      <c r="AE35" s="72"/>
      <c r="AF35" s="72"/>
      <c r="AG35" s="72"/>
      <c r="AH35" s="73"/>
      <c r="AI35" s="71">
        <v>2721.6</v>
      </c>
      <c r="AJ35" s="72"/>
      <c r="AK35" s="72"/>
      <c r="AL35" s="72"/>
      <c r="AM35" s="73"/>
      <c r="AN35" s="100" t="str">
        <f t="shared" si="3"/>
        <v>O.K</v>
      </c>
      <c r="AO35" s="133"/>
      <c r="AP35" s="101"/>
    </row>
    <row r="36" spans="2:42" ht="21" customHeight="1">
      <c r="B36" s="100" t="s">
        <v>199</v>
      </c>
      <c r="C36" s="133"/>
      <c r="D36" s="133"/>
      <c r="E36" s="101"/>
      <c r="F36" s="71">
        <v>1.5</v>
      </c>
      <c r="G36" s="72"/>
      <c r="H36" s="73"/>
      <c r="I36" s="74">
        <v>0.880282</v>
      </c>
      <c r="J36" s="75"/>
      <c r="K36" s="76"/>
      <c r="L36" s="100" t="str">
        <f t="shared" si="0"/>
        <v>O.K</v>
      </c>
      <c r="M36" s="101"/>
      <c r="N36" s="71">
        <v>144.666667</v>
      </c>
      <c r="O36" s="72"/>
      <c r="P36" s="73"/>
      <c r="Q36" s="71">
        <v>180</v>
      </c>
      <c r="R36" s="72"/>
      <c r="S36" s="73"/>
      <c r="T36" s="100" t="str">
        <f t="shared" si="1"/>
        <v>O.K</v>
      </c>
      <c r="U36" s="101"/>
      <c r="V36" s="71">
        <v>13.846154</v>
      </c>
      <c r="W36" s="72"/>
      <c r="X36" s="73"/>
      <c r="Y36" s="71">
        <v>14</v>
      </c>
      <c r="Z36" s="72"/>
      <c r="AA36" s="73"/>
      <c r="AB36" s="100" t="str">
        <f t="shared" si="2"/>
        <v>O.K</v>
      </c>
      <c r="AC36" s="101"/>
      <c r="AD36" s="71">
        <v>731.402452</v>
      </c>
      <c r="AE36" s="72"/>
      <c r="AF36" s="72"/>
      <c r="AG36" s="72"/>
      <c r="AH36" s="73"/>
      <c r="AI36" s="71">
        <v>2721.6</v>
      </c>
      <c r="AJ36" s="72"/>
      <c r="AK36" s="72"/>
      <c r="AL36" s="72"/>
      <c r="AM36" s="73"/>
      <c r="AN36" s="100" t="str">
        <f t="shared" si="3"/>
        <v>O.K</v>
      </c>
      <c r="AO36" s="133"/>
      <c r="AP36" s="101"/>
    </row>
    <row r="37" spans="2:42" ht="21" customHeight="1">
      <c r="B37" s="100" t="s">
        <v>200</v>
      </c>
      <c r="C37" s="133"/>
      <c r="D37" s="133"/>
      <c r="E37" s="101"/>
      <c r="F37" s="71">
        <v>1.5</v>
      </c>
      <c r="G37" s="72"/>
      <c r="H37" s="73"/>
      <c r="I37" s="74">
        <v>0.880282</v>
      </c>
      <c r="J37" s="75"/>
      <c r="K37" s="76"/>
      <c r="L37" s="100" t="str">
        <f t="shared" si="0"/>
        <v>O.K</v>
      </c>
      <c r="M37" s="101"/>
      <c r="N37" s="71">
        <v>144.666667</v>
      </c>
      <c r="O37" s="72"/>
      <c r="P37" s="73"/>
      <c r="Q37" s="71">
        <v>180</v>
      </c>
      <c r="R37" s="72"/>
      <c r="S37" s="73"/>
      <c r="T37" s="100" t="str">
        <f t="shared" si="1"/>
        <v>O.K</v>
      </c>
      <c r="U37" s="101"/>
      <c r="V37" s="71">
        <v>13.846154</v>
      </c>
      <c r="W37" s="72"/>
      <c r="X37" s="73"/>
      <c r="Y37" s="71">
        <v>14</v>
      </c>
      <c r="Z37" s="72"/>
      <c r="AA37" s="73"/>
      <c r="AB37" s="100" t="str">
        <f t="shared" si="2"/>
        <v>O.K</v>
      </c>
      <c r="AC37" s="101"/>
      <c r="AD37" s="71">
        <v>731.402452</v>
      </c>
      <c r="AE37" s="72"/>
      <c r="AF37" s="72"/>
      <c r="AG37" s="72"/>
      <c r="AH37" s="73"/>
      <c r="AI37" s="71">
        <v>2721.6</v>
      </c>
      <c r="AJ37" s="72"/>
      <c r="AK37" s="72"/>
      <c r="AL37" s="72"/>
      <c r="AM37" s="73"/>
      <c r="AN37" s="100" t="str">
        <f t="shared" si="3"/>
        <v>O.K</v>
      </c>
      <c r="AO37" s="133"/>
      <c r="AP37" s="101"/>
    </row>
    <row r="38" spans="2:42" ht="21" customHeight="1">
      <c r="B38" s="100" t="s">
        <v>201</v>
      </c>
      <c r="C38" s="133"/>
      <c r="D38" s="133"/>
      <c r="E38" s="101"/>
      <c r="F38" s="71">
        <v>1.5</v>
      </c>
      <c r="G38" s="72"/>
      <c r="H38" s="73"/>
      <c r="I38" s="74">
        <v>0.877193</v>
      </c>
      <c r="J38" s="75"/>
      <c r="K38" s="76"/>
      <c r="L38" s="100" t="str">
        <f t="shared" si="0"/>
        <v>O.K</v>
      </c>
      <c r="M38" s="101"/>
      <c r="N38" s="71">
        <v>145</v>
      </c>
      <c r="O38" s="72"/>
      <c r="P38" s="73"/>
      <c r="Q38" s="71">
        <v>180</v>
      </c>
      <c r="R38" s="72"/>
      <c r="S38" s="73"/>
      <c r="T38" s="100" t="str">
        <f t="shared" si="1"/>
        <v>O.K</v>
      </c>
      <c r="U38" s="101"/>
      <c r="V38" s="71">
        <v>13.846154</v>
      </c>
      <c r="W38" s="72"/>
      <c r="X38" s="73"/>
      <c r="Y38" s="71">
        <v>14</v>
      </c>
      <c r="Z38" s="72"/>
      <c r="AA38" s="73"/>
      <c r="AB38" s="100" t="str">
        <f t="shared" si="2"/>
        <v>O.K</v>
      </c>
      <c r="AC38" s="101"/>
      <c r="AD38" s="71">
        <v>739.15577</v>
      </c>
      <c r="AE38" s="72"/>
      <c r="AF38" s="72"/>
      <c r="AG38" s="72"/>
      <c r="AH38" s="73"/>
      <c r="AI38" s="71">
        <v>2721.6</v>
      </c>
      <c r="AJ38" s="72"/>
      <c r="AK38" s="72"/>
      <c r="AL38" s="72"/>
      <c r="AM38" s="73"/>
      <c r="AN38" s="100" t="str">
        <f t="shared" si="3"/>
        <v>O.K</v>
      </c>
      <c r="AO38" s="133"/>
      <c r="AP38" s="101"/>
    </row>
    <row r="40" spans="1:22" ht="21" customHeight="1">
      <c r="A40" s="129" t="s">
        <v>202</v>
      </c>
      <c r="V40" s="129" t="s">
        <v>203</v>
      </c>
    </row>
    <row r="41" spans="2:42" ht="21" customHeight="1">
      <c r="B41" s="130" t="s">
        <v>159</v>
      </c>
      <c r="C41" s="131"/>
      <c r="D41" s="131"/>
      <c r="E41" s="132"/>
      <c r="F41" s="100" t="s">
        <v>204</v>
      </c>
      <c r="G41" s="133"/>
      <c r="H41" s="133"/>
      <c r="I41" s="133"/>
      <c r="J41" s="133"/>
      <c r="K41" s="133"/>
      <c r="L41" s="133"/>
      <c r="M41" s="101"/>
      <c r="N41" s="100" t="s">
        <v>162</v>
      </c>
      <c r="O41" s="133"/>
      <c r="P41" s="133"/>
      <c r="Q41" s="133"/>
      <c r="R41" s="133"/>
      <c r="S41" s="133"/>
      <c r="T41" s="133"/>
      <c r="U41" s="101"/>
      <c r="V41" s="100" t="s">
        <v>205</v>
      </c>
      <c r="W41" s="133"/>
      <c r="X41" s="133"/>
      <c r="Y41" s="133"/>
      <c r="Z41" s="133"/>
      <c r="AA41" s="133"/>
      <c r="AB41" s="133"/>
      <c r="AC41" s="133"/>
      <c r="AD41" s="133"/>
      <c r="AE41" s="101"/>
      <c r="AF41" s="100" t="s">
        <v>206</v>
      </c>
      <c r="AG41" s="133"/>
      <c r="AH41" s="133"/>
      <c r="AI41" s="133"/>
      <c r="AJ41" s="133"/>
      <c r="AK41" s="133"/>
      <c r="AL41" s="133"/>
      <c r="AM41" s="133"/>
      <c r="AN41" s="133"/>
      <c r="AO41" s="133"/>
      <c r="AP41" s="101"/>
    </row>
    <row r="42" spans="2:42" ht="21" customHeight="1">
      <c r="B42" s="134"/>
      <c r="C42" s="135"/>
      <c r="D42" s="135"/>
      <c r="E42" s="136"/>
      <c r="F42" s="100" t="s">
        <v>167</v>
      </c>
      <c r="G42" s="133"/>
      <c r="H42" s="101"/>
      <c r="I42" s="100" t="s">
        <v>165</v>
      </c>
      <c r="J42" s="133"/>
      <c r="K42" s="101"/>
      <c r="L42" s="100" t="s">
        <v>166</v>
      </c>
      <c r="M42" s="101"/>
      <c r="N42" s="100" t="s">
        <v>167</v>
      </c>
      <c r="O42" s="133"/>
      <c r="P42" s="101"/>
      <c r="Q42" s="100" t="s">
        <v>165</v>
      </c>
      <c r="R42" s="133"/>
      <c r="S42" s="101"/>
      <c r="T42" s="100" t="s">
        <v>166</v>
      </c>
      <c r="U42" s="101"/>
      <c r="V42" s="100" t="s">
        <v>167</v>
      </c>
      <c r="W42" s="133"/>
      <c r="X42" s="133"/>
      <c r="Y42" s="101"/>
      <c r="Z42" s="100" t="s">
        <v>165</v>
      </c>
      <c r="AA42" s="133"/>
      <c r="AB42" s="133"/>
      <c r="AC42" s="101"/>
      <c r="AD42" s="100" t="s">
        <v>166</v>
      </c>
      <c r="AE42" s="101"/>
      <c r="AF42" s="100" t="s">
        <v>207</v>
      </c>
      <c r="AG42" s="133"/>
      <c r="AH42" s="133"/>
      <c r="AI42" s="101"/>
      <c r="AJ42" s="100" t="s">
        <v>208</v>
      </c>
      <c r="AK42" s="133"/>
      <c r="AL42" s="133"/>
      <c r="AM42" s="101"/>
      <c r="AN42" s="100" t="s">
        <v>166</v>
      </c>
      <c r="AO42" s="133"/>
      <c r="AP42" s="101"/>
    </row>
    <row r="43" spans="2:42" ht="21" customHeight="1">
      <c r="B43" s="100" t="s">
        <v>168</v>
      </c>
      <c r="C43" s="133"/>
      <c r="D43" s="133"/>
      <c r="E43" s="101"/>
      <c r="F43" s="71">
        <v>18.75</v>
      </c>
      <c r="G43" s="72"/>
      <c r="H43" s="73"/>
      <c r="I43" s="71">
        <v>14</v>
      </c>
      <c r="J43" s="72"/>
      <c r="K43" s="73"/>
      <c r="L43" s="100" t="str">
        <f aca="true" t="shared" si="4" ref="L43:L76">IF(F43&lt;=I43,"O.K","N.G")</f>
        <v>N.G</v>
      </c>
      <c r="M43" s="101"/>
      <c r="N43" s="71">
        <v>9.375</v>
      </c>
      <c r="O43" s="72"/>
      <c r="P43" s="73"/>
      <c r="Q43" s="71">
        <v>12</v>
      </c>
      <c r="R43" s="72"/>
      <c r="S43" s="73"/>
      <c r="T43" s="100" t="str">
        <f aca="true" t="shared" si="5" ref="T43:T76">IF(N43&lt;=Q43,"O.K","N.G")</f>
        <v>O.K</v>
      </c>
      <c r="U43" s="101"/>
      <c r="V43" s="71">
        <v>1870.909091</v>
      </c>
      <c r="W43" s="72"/>
      <c r="X43" s="72"/>
      <c r="Y43" s="73"/>
      <c r="Z43" s="71">
        <v>1350</v>
      </c>
      <c r="AA43" s="72"/>
      <c r="AB43" s="72"/>
      <c r="AC43" s="73"/>
      <c r="AD43" s="100" t="str">
        <f aca="true" t="shared" si="6" ref="AD43:AD76">IF(V43&lt;=Z43,"O.K","N.G")</f>
        <v>N.G</v>
      </c>
      <c r="AE43" s="101"/>
      <c r="AF43" s="71" t="s">
        <v>209</v>
      </c>
      <c r="AG43" s="72"/>
      <c r="AH43" s="72"/>
      <c r="AI43" s="73"/>
      <c r="AJ43" s="71" t="s">
        <v>209</v>
      </c>
      <c r="AK43" s="72"/>
      <c r="AL43" s="72"/>
      <c r="AM43" s="73"/>
      <c r="AN43" s="100" t="str">
        <f aca="true" t="shared" si="7" ref="AN43:AN76">IF(AF43=AJ43,"O.K","N.G")</f>
        <v>O.K</v>
      </c>
      <c r="AO43" s="133"/>
      <c r="AP43" s="101"/>
    </row>
    <row r="44" spans="2:42" ht="21" customHeight="1">
      <c r="B44" s="100" t="s">
        <v>169</v>
      </c>
      <c r="C44" s="133"/>
      <c r="D44" s="133"/>
      <c r="E44" s="101"/>
      <c r="F44" s="71">
        <v>18.684211</v>
      </c>
      <c r="G44" s="72"/>
      <c r="H44" s="73"/>
      <c r="I44" s="71">
        <v>14</v>
      </c>
      <c r="J44" s="72"/>
      <c r="K44" s="73"/>
      <c r="L44" s="100" t="str">
        <f t="shared" si="4"/>
        <v>N.G</v>
      </c>
      <c r="M44" s="101"/>
      <c r="N44" s="71">
        <v>9.375</v>
      </c>
      <c r="O44" s="72"/>
      <c r="P44" s="73"/>
      <c r="Q44" s="71">
        <v>12</v>
      </c>
      <c r="R44" s="72"/>
      <c r="S44" s="73"/>
      <c r="T44" s="100" t="str">
        <f t="shared" si="5"/>
        <v>O.K</v>
      </c>
      <c r="U44" s="101"/>
      <c r="V44" s="71">
        <v>1870.909091</v>
      </c>
      <c r="W44" s="72"/>
      <c r="X44" s="72"/>
      <c r="Y44" s="73"/>
      <c r="Z44" s="71">
        <v>1350</v>
      </c>
      <c r="AA44" s="72"/>
      <c r="AB44" s="72"/>
      <c r="AC44" s="73"/>
      <c r="AD44" s="100" t="str">
        <f t="shared" si="6"/>
        <v>N.G</v>
      </c>
      <c r="AE44" s="101"/>
      <c r="AF44" s="71" t="s">
        <v>210</v>
      </c>
      <c r="AG44" s="72"/>
      <c r="AH44" s="72"/>
      <c r="AI44" s="73"/>
      <c r="AJ44" s="71" t="s">
        <v>210</v>
      </c>
      <c r="AK44" s="72"/>
      <c r="AL44" s="72"/>
      <c r="AM44" s="73"/>
      <c r="AN44" s="100" t="str">
        <f t="shared" si="7"/>
        <v>O.K</v>
      </c>
      <c r="AO44" s="133"/>
      <c r="AP44" s="101"/>
    </row>
    <row r="45" spans="2:42" ht="21" customHeight="1">
      <c r="B45" s="100" t="s">
        <v>170</v>
      </c>
      <c r="C45" s="133"/>
      <c r="D45" s="133"/>
      <c r="E45" s="101"/>
      <c r="F45" s="71">
        <v>18.684211</v>
      </c>
      <c r="G45" s="72"/>
      <c r="H45" s="73"/>
      <c r="I45" s="71">
        <v>14</v>
      </c>
      <c r="J45" s="72"/>
      <c r="K45" s="73"/>
      <c r="L45" s="100" t="str">
        <f t="shared" si="4"/>
        <v>N.G</v>
      </c>
      <c r="M45" s="101"/>
      <c r="N45" s="71">
        <v>9.375</v>
      </c>
      <c r="O45" s="72"/>
      <c r="P45" s="73"/>
      <c r="Q45" s="71">
        <v>12</v>
      </c>
      <c r="R45" s="72"/>
      <c r="S45" s="73"/>
      <c r="T45" s="100" t="str">
        <f t="shared" si="5"/>
        <v>O.K</v>
      </c>
      <c r="U45" s="101"/>
      <c r="V45" s="71">
        <v>1870.909091</v>
      </c>
      <c r="W45" s="72"/>
      <c r="X45" s="72"/>
      <c r="Y45" s="73"/>
      <c r="Z45" s="71">
        <v>1350</v>
      </c>
      <c r="AA45" s="72"/>
      <c r="AB45" s="72"/>
      <c r="AC45" s="73"/>
      <c r="AD45" s="100" t="str">
        <f t="shared" si="6"/>
        <v>N.G</v>
      </c>
      <c r="AE45" s="101"/>
      <c r="AF45" s="71" t="s">
        <v>211</v>
      </c>
      <c r="AG45" s="72"/>
      <c r="AH45" s="72"/>
      <c r="AI45" s="73"/>
      <c r="AJ45" s="71" t="s">
        <v>211</v>
      </c>
      <c r="AK45" s="72"/>
      <c r="AL45" s="72"/>
      <c r="AM45" s="73"/>
      <c r="AN45" s="100" t="str">
        <f t="shared" si="7"/>
        <v>O.K</v>
      </c>
      <c r="AO45" s="133"/>
      <c r="AP45" s="101"/>
    </row>
    <row r="46" spans="2:42" ht="21" customHeight="1">
      <c r="B46" s="100" t="s">
        <v>171</v>
      </c>
      <c r="C46" s="133"/>
      <c r="D46" s="133"/>
      <c r="E46" s="101"/>
      <c r="F46" s="71">
        <v>18.684211</v>
      </c>
      <c r="G46" s="72"/>
      <c r="H46" s="73"/>
      <c r="I46" s="71">
        <v>14</v>
      </c>
      <c r="J46" s="72"/>
      <c r="K46" s="73"/>
      <c r="L46" s="100" t="str">
        <f t="shared" si="4"/>
        <v>N.G</v>
      </c>
      <c r="M46" s="101"/>
      <c r="N46" s="71">
        <v>9.375</v>
      </c>
      <c r="O46" s="72"/>
      <c r="P46" s="73"/>
      <c r="Q46" s="71">
        <v>12</v>
      </c>
      <c r="R46" s="72"/>
      <c r="S46" s="73"/>
      <c r="T46" s="100" t="str">
        <f t="shared" si="5"/>
        <v>O.K</v>
      </c>
      <c r="U46" s="101"/>
      <c r="V46" s="71">
        <v>1870.909091</v>
      </c>
      <c r="W46" s="72"/>
      <c r="X46" s="72"/>
      <c r="Y46" s="73"/>
      <c r="Z46" s="71">
        <v>1350</v>
      </c>
      <c r="AA46" s="72"/>
      <c r="AB46" s="72"/>
      <c r="AC46" s="73"/>
      <c r="AD46" s="100" t="str">
        <f t="shared" si="6"/>
        <v>N.G</v>
      </c>
      <c r="AE46" s="101"/>
      <c r="AF46" s="71" t="s">
        <v>211</v>
      </c>
      <c r="AG46" s="72"/>
      <c r="AH46" s="72"/>
      <c r="AI46" s="73"/>
      <c r="AJ46" s="71" t="s">
        <v>211</v>
      </c>
      <c r="AK46" s="72"/>
      <c r="AL46" s="72"/>
      <c r="AM46" s="73"/>
      <c r="AN46" s="100" t="str">
        <f t="shared" si="7"/>
        <v>O.K</v>
      </c>
      <c r="AO46" s="133"/>
      <c r="AP46" s="101"/>
    </row>
    <row r="47" spans="2:42" ht="21" customHeight="1">
      <c r="B47" s="100" t="s">
        <v>172</v>
      </c>
      <c r="C47" s="133"/>
      <c r="D47" s="133"/>
      <c r="E47" s="101"/>
      <c r="F47" s="71">
        <v>17.088337</v>
      </c>
      <c r="G47" s="72"/>
      <c r="H47" s="73"/>
      <c r="I47" s="71">
        <v>14</v>
      </c>
      <c r="J47" s="72"/>
      <c r="K47" s="73"/>
      <c r="L47" s="100" t="str">
        <f t="shared" si="4"/>
        <v>N.G</v>
      </c>
      <c r="M47" s="101"/>
      <c r="N47" s="71">
        <v>9.375</v>
      </c>
      <c r="O47" s="72"/>
      <c r="P47" s="73"/>
      <c r="Q47" s="71">
        <v>12</v>
      </c>
      <c r="R47" s="72"/>
      <c r="S47" s="73"/>
      <c r="T47" s="100" t="str">
        <f t="shared" si="5"/>
        <v>O.K</v>
      </c>
      <c r="U47" s="101"/>
      <c r="V47" s="71">
        <v>1870.909091</v>
      </c>
      <c r="W47" s="72"/>
      <c r="X47" s="72"/>
      <c r="Y47" s="73"/>
      <c r="Z47" s="71">
        <v>1350</v>
      </c>
      <c r="AA47" s="72"/>
      <c r="AB47" s="72"/>
      <c r="AC47" s="73"/>
      <c r="AD47" s="100" t="str">
        <f t="shared" si="6"/>
        <v>N.G</v>
      </c>
      <c r="AE47" s="101"/>
      <c r="AF47" s="71" t="s">
        <v>212</v>
      </c>
      <c r="AG47" s="72"/>
      <c r="AH47" s="72"/>
      <c r="AI47" s="73"/>
      <c r="AJ47" s="71" t="s">
        <v>212</v>
      </c>
      <c r="AK47" s="72"/>
      <c r="AL47" s="72"/>
      <c r="AM47" s="73"/>
      <c r="AN47" s="100" t="str">
        <f t="shared" si="7"/>
        <v>O.K</v>
      </c>
      <c r="AO47" s="133"/>
      <c r="AP47" s="101"/>
    </row>
    <row r="48" spans="2:42" ht="21" customHeight="1">
      <c r="B48" s="100" t="s">
        <v>173</v>
      </c>
      <c r="C48" s="133"/>
      <c r="D48" s="133"/>
      <c r="E48" s="101"/>
      <c r="F48" s="71">
        <v>18.684211</v>
      </c>
      <c r="G48" s="72"/>
      <c r="H48" s="73"/>
      <c r="I48" s="71">
        <v>14</v>
      </c>
      <c r="J48" s="72"/>
      <c r="K48" s="73"/>
      <c r="L48" s="100" t="str">
        <f t="shared" si="4"/>
        <v>N.G</v>
      </c>
      <c r="M48" s="101"/>
      <c r="N48" s="71">
        <v>9.375</v>
      </c>
      <c r="O48" s="72"/>
      <c r="P48" s="73"/>
      <c r="Q48" s="71">
        <v>12</v>
      </c>
      <c r="R48" s="72"/>
      <c r="S48" s="73"/>
      <c r="T48" s="100" t="str">
        <f t="shared" si="5"/>
        <v>O.K</v>
      </c>
      <c r="U48" s="101"/>
      <c r="V48" s="71">
        <v>1870.909091</v>
      </c>
      <c r="W48" s="72"/>
      <c r="X48" s="72"/>
      <c r="Y48" s="73"/>
      <c r="Z48" s="71">
        <v>1350</v>
      </c>
      <c r="AA48" s="72"/>
      <c r="AB48" s="72"/>
      <c r="AC48" s="73"/>
      <c r="AD48" s="100" t="str">
        <f t="shared" si="6"/>
        <v>N.G</v>
      </c>
      <c r="AE48" s="101"/>
      <c r="AF48" s="71" t="s">
        <v>211</v>
      </c>
      <c r="AG48" s="72"/>
      <c r="AH48" s="72"/>
      <c r="AI48" s="73"/>
      <c r="AJ48" s="71" t="s">
        <v>211</v>
      </c>
      <c r="AK48" s="72"/>
      <c r="AL48" s="72"/>
      <c r="AM48" s="73"/>
      <c r="AN48" s="100" t="str">
        <f t="shared" si="7"/>
        <v>O.K</v>
      </c>
      <c r="AO48" s="133"/>
      <c r="AP48" s="101"/>
    </row>
    <row r="49" spans="2:42" ht="21" customHeight="1">
      <c r="B49" s="100" t="s">
        <v>174</v>
      </c>
      <c r="C49" s="133"/>
      <c r="D49" s="133"/>
      <c r="E49" s="101"/>
      <c r="F49" s="71">
        <v>18.458183</v>
      </c>
      <c r="G49" s="72"/>
      <c r="H49" s="73"/>
      <c r="I49" s="71">
        <v>14</v>
      </c>
      <c r="J49" s="72"/>
      <c r="K49" s="73"/>
      <c r="L49" s="100" t="str">
        <f t="shared" si="4"/>
        <v>N.G</v>
      </c>
      <c r="M49" s="101"/>
      <c r="N49" s="71">
        <v>9.375</v>
      </c>
      <c r="O49" s="72"/>
      <c r="P49" s="73"/>
      <c r="Q49" s="71">
        <v>12</v>
      </c>
      <c r="R49" s="72"/>
      <c r="S49" s="73"/>
      <c r="T49" s="100" t="str">
        <f t="shared" si="5"/>
        <v>O.K</v>
      </c>
      <c r="U49" s="101"/>
      <c r="V49" s="71">
        <v>1870.909091</v>
      </c>
      <c r="W49" s="72"/>
      <c r="X49" s="72"/>
      <c r="Y49" s="73"/>
      <c r="Z49" s="71">
        <v>1350</v>
      </c>
      <c r="AA49" s="72"/>
      <c r="AB49" s="72"/>
      <c r="AC49" s="73"/>
      <c r="AD49" s="100" t="str">
        <f t="shared" si="6"/>
        <v>N.G</v>
      </c>
      <c r="AE49" s="101"/>
      <c r="AF49" s="71" t="s">
        <v>211</v>
      </c>
      <c r="AG49" s="72"/>
      <c r="AH49" s="72"/>
      <c r="AI49" s="73"/>
      <c r="AJ49" s="71" t="s">
        <v>211</v>
      </c>
      <c r="AK49" s="72"/>
      <c r="AL49" s="72"/>
      <c r="AM49" s="73"/>
      <c r="AN49" s="100" t="str">
        <f t="shared" si="7"/>
        <v>O.K</v>
      </c>
      <c r="AO49" s="133"/>
      <c r="AP49" s="101"/>
    </row>
    <row r="50" spans="2:42" ht="21" customHeight="1">
      <c r="B50" s="100" t="s">
        <v>175</v>
      </c>
      <c r="C50" s="133"/>
      <c r="D50" s="133"/>
      <c r="E50" s="101"/>
      <c r="F50" s="71">
        <v>16.502711</v>
      </c>
      <c r="G50" s="72"/>
      <c r="H50" s="73"/>
      <c r="I50" s="71">
        <v>14</v>
      </c>
      <c r="J50" s="72"/>
      <c r="K50" s="73"/>
      <c r="L50" s="100" t="str">
        <f t="shared" si="4"/>
        <v>N.G</v>
      </c>
      <c r="M50" s="101"/>
      <c r="N50" s="71">
        <v>9.375</v>
      </c>
      <c r="O50" s="72"/>
      <c r="P50" s="73"/>
      <c r="Q50" s="71">
        <v>12</v>
      </c>
      <c r="R50" s="72"/>
      <c r="S50" s="73"/>
      <c r="T50" s="100" t="str">
        <f t="shared" si="5"/>
        <v>O.K</v>
      </c>
      <c r="U50" s="101"/>
      <c r="V50" s="71">
        <v>1870.909091</v>
      </c>
      <c r="W50" s="72"/>
      <c r="X50" s="72"/>
      <c r="Y50" s="73"/>
      <c r="Z50" s="71">
        <v>1350</v>
      </c>
      <c r="AA50" s="72"/>
      <c r="AB50" s="72"/>
      <c r="AC50" s="73"/>
      <c r="AD50" s="100" t="str">
        <f t="shared" si="6"/>
        <v>N.G</v>
      </c>
      <c r="AE50" s="101"/>
      <c r="AF50" s="71" t="s">
        <v>209</v>
      </c>
      <c r="AG50" s="72"/>
      <c r="AH50" s="72"/>
      <c r="AI50" s="73"/>
      <c r="AJ50" s="71" t="s">
        <v>209</v>
      </c>
      <c r="AK50" s="72"/>
      <c r="AL50" s="72"/>
      <c r="AM50" s="73"/>
      <c r="AN50" s="100" t="str">
        <f t="shared" si="7"/>
        <v>O.K</v>
      </c>
      <c r="AO50" s="133"/>
      <c r="AP50" s="101"/>
    </row>
    <row r="51" spans="2:42" ht="21" customHeight="1">
      <c r="B51" s="100" t="s">
        <v>176</v>
      </c>
      <c r="C51" s="133"/>
      <c r="D51" s="133"/>
      <c r="E51" s="101"/>
      <c r="F51" s="71">
        <v>15.679825</v>
      </c>
      <c r="G51" s="72"/>
      <c r="H51" s="73"/>
      <c r="I51" s="71">
        <v>14</v>
      </c>
      <c r="J51" s="72"/>
      <c r="K51" s="73"/>
      <c r="L51" s="100" t="str">
        <f t="shared" si="4"/>
        <v>N.G</v>
      </c>
      <c r="M51" s="101"/>
      <c r="N51" s="71">
        <v>9.375</v>
      </c>
      <c r="O51" s="72"/>
      <c r="P51" s="73"/>
      <c r="Q51" s="71">
        <v>12</v>
      </c>
      <c r="R51" s="72"/>
      <c r="S51" s="73"/>
      <c r="T51" s="100" t="str">
        <f t="shared" si="5"/>
        <v>O.K</v>
      </c>
      <c r="U51" s="101"/>
      <c r="V51" s="71">
        <v>1870.909091</v>
      </c>
      <c r="W51" s="72"/>
      <c r="X51" s="72"/>
      <c r="Y51" s="73"/>
      <c r="Z51" s="71">
        <v>1350</v>
      </c>
      <c r="AA51" s="72"/>
      <c r="AB51" s="72"/>
      <c r="AC51" s="73"/>
      <c r="AD51" s="100" t="str">
        <f t="shared" si="6"/>
        <v>N.G</v>
      </c>
      <c r="AE51" s="101"/>
      <c r="AF51" s="71" t="s">
        <v>212</v>
      </c>
      <c r="AG51" s="72"/>
      <c r="AH51" s="72"/>
      <c r="AI51" s="73"/>
      <c r="AJ51" s="71" t="s">
        <v>212</v>
      </c>
      <c r="AK51" s="72"/>
      <c r="AL51" s="72"/>
      <c r="AM51" s="73"/>
      <c r="AN51" s="100" t="str">
        <f t="shared" si="7"/>
        <v>O.K</v>
      </c>
      <c r="AO51" s="133"/>
      <c r="AP51" s="101"/>
    </row>
    <row r="52" spans="2:42" ht="21" customHeight="1">
      <c r="B52" s="100" t="s">
        <v>177</v>
      </c>
      <c r="C52" s="133"/>
      <c r="D52" s="133"/>
      <c r="E52" s="101"/>
      <c r="F52" s="71">
        <v>16.224891</v>
      </c>
      <c r="G52" s="72"/>
      <c r="H52" s="73"/>
      <c r="I52" s="71">
        <v>14</v>
      </c>
      <c r="J52" s="72"/>
      <c r="K52" s="73"/>
      <c r="L52" s="100" t="str">
        <f t="shared" si="4"/>
        <v>N.G</v>
      </c>
      <c r="M52" s="101"/>
      <c r="N52" s="71">
        <v>9.375</v>
      </c>
      <c r="O52" s="72"/>
      <c r="P52" s="73"/>
      <c r="Q52" s="71">
        <v>12</v>
      </c>
      <c r="R52" s="72"/>
      <c r="S52" s="73"/>
      <c r="T52" s="100" t="str">
        <f t="shared" si="5"/>
        <v>O.K</v>
      </c>
      <c r="U52" s="101"/>
      <c r="V52" s="71">
        <v>1870.909091</v>
      </c>
      <c r="W52" s="72"/>
      <c r="X52" s="72"/>
      <c r="Y52" s="73"/>
      <c r="Z52" s="71">
        <v>1350</v>
      </c>
      <c r="AA52" s="72"/>
      <c r="AB52" s="72"/>
      <c r="AC52" s="73"/>
      <c r="AD52" s="100" t="str">
        <f t="shared" si="6"/>
        <v>N.G</v>
      </c>
      <c r="AE52" s="101"/>
      <c r="AF52" s="71" t="s">
        <v>212</v>
      </c>
      <c r="AG52" s="72"/>
      <c r="AH52" s="72"/>
      <c r="AI52" s="73"/>
      <c r="AJ52" s="71" t="s">
        <v>212</v>
      </c>
      <c r="AK52" s="72"/>
      <c r="AL52" s="72"/>
      <c r="AM52" s="73"/>
      <c r="AN52" s="100" t="str">
        <f t="shared" si="7"/>
        <v>O.K</v>
      </c>
      <c r="AO52" s="133"/>
      <c r="AP52" s="101"/>
    </row>
    <row r="53" spans="2:42" ht="21" customHeight="1">
      <c r="B53" s="100" t="s">
        <v>178</v>
      </c>
      <c r="C53" s="133"/>
      <c r="D53" s="133"/>
      <c r="E53" s="101"/>
      <c r="F53" s="71">
        <v>18.684211</v>
      </c>
      <c r="G53" s="72"/>
      <c r="H53" s="73"/>
      <c r="I53" s="71">
        <v>14</v>
      </c>
      <c r="J53" s="72"/>
      <c r="K53" s="73"/>
      <c r="L53" s="100" t="str">
        <f t="shared" si="4"/>
        <v>N.G</v>
      </c>
      <c r="M53" s="101"/>
      <c r="N53" s="71">
        <v>9.375</v>
      </c>
      <c r="O53" s="72"/>
      <c r="P53" s="73"/>
      <c r="Q53" s="71">
        <v>12</v>
      </c>
      <c r="R53" s="72"/>
      <c r="S53" s="73"/>
      <c r="T53" s="100" t="str">
        <f t="shared" si="5"/>
        <v>O.K</v>
      </c>
      <c r="U53" s="101"/>
      <c r="V53" s="71">
        <v>1870.909091</v>
      </c>
      <c r="W53" s="72"/>
      <c r="X53" s="72"/>
      <c r="Y53" s="73"/>
      <c r="Z53" s="71">
        <v>1350</v>
      </c>
      <c r="AA53" s="72"/>
      <c r="AB53" s="72"/>
      <c r="AC53" s="73"/>
      <c r="AD53" s="100" t="str">
        <f t="shared" si="6"/>
        <v>N.G</v>
      </c>
      <c r="AE53" s="101"/>
      <c r="AF53" s="71" t="s">
        <v>212</v>
      </c>
      <c r="AG53" s="72"/>
      <c r="AH53" s="72"/>
      <c r="AI53" s="73"/>
      <c r="AJ53" s="71" t="s">
        <v>212</v>
      </c>
      <c r="AK53" s="72"/>
      <c r="AL53" s="72"/>
      <c r="AM53" s="73"/>
      <c r="AN53" s="100" t="str">
        <f t="shared" si="7"/>
        <v>O.K</v>
      </c>
      <c r="AO53" s="133"/>
      <c r="AP53" s="101"/>
    </row>
    <row r="54" spans="2:42" ht="21" customHeight="1">
      <c r="B54" s="100" t="s">
        <v>179</v>
      </c>
      <c r="C54" s="133"/>
      <c r="D54" s="133"/>
      <c r="E54" s="101"/>
      <c r="F54" s="71">
        <v>18.684211</v>
      </c>
      <c r="G54" s="72"/>
      <c r="H54" s="73"/>
      <c r="I54" s="71">
        <v>14</v>
      </c>
      <c r="J54" s="72"/>
      <c r="K54" s="73"/>
      <c r="L54" s="100" t="str">
        <f t="shared" si="4"/>
        <v>N.G</v>
      </c>
      <c r="M54" s="101"/>
      <c r="N54" s="71">
        <v>9.375</v>
      </c>
      <c r="O54" s="72"/>
      <c r="P54" s="73"/>
      <c r="Q54" s="71">
        <v>12</v>
      </c>
      <c r="R54" s="72"/>
      <c r="S54" s="73"/>
      <c r="T54" s="100" t="str">
        <f t="shared" si="5"/>
        <v>O.K</v>
      </c>
      <c r="U54" s="101"/>
      <c r="V54" s="71">
        <v>1870.909091</v>
      </c>
      <c r="W54" s="72"/>
      <c r="X54" s="72"/>
      <c r="Y54" s="73"/>
      <c r="Z54" s="71">
        <v>1350</v>
      </c>
      <c r="AA54" s="72"/>
      <c r="AB54" s="72"/>
      <c r="AC54" s="73"/>
      <c r="AD54" s="100" t="str">
        <f t="shared" si="6"/>
        <v>N.G</v>
      </c>
      <c r="AE54" s="101"/>
      <c r="AF54" s="71" t="s">
        <v>211</v>
      </c>
      <c r="AG54" s="72"/>
      <c r="AH54" s="72"/>
      <c r="AI54" s="73"/>
      <c r="AJ54" s="71" t="s">
        <v>211</v>
      </c>
      <c r="AK54" s="72"/>
      <c r="AL54" s="72"/>
      <c r="AM54" s="73"/>
      <c r="AN54" s="100" t="str">
        <f t="shared" si="7"/>
        <v>O.K</v>
      </c>
      <c r="AO54" s="133"/>
      <c r="AP54" s="101"/>
    </row>
    <row r="55" spans="2:42" ht="21" customHeight="1">
      <c r="B55" s="100" t="s">
        <v>180</v>
      </c>
      <c r="C55" s="133"/>
      <c r="D55" s="133"/>
      <c r="E55" s="101"/>
      <c r="F55" s="71">
        <v>17.179865</v>
      </c>
      <c r="G55" s="72"/>
      <c r="H55" s="73"/>
      <c r="I55" s="71">
        <v>14</v>
      </c>
      <c r="J55" s="72"/>
      <c r="K55" s="73"/>
      <c r="L55" s="100" t="str">
        <f t="shared" si="4"/>
        <v>N.G</v>
      </c>
      <c r="M55" s="101"/>
      <c r="N55" s="71">
        <v>9.375</v>
      </c>
      <c r="O55" s="72"/>
      <c r="P55" s="73"/>
      <c r="Q55" s="71">
        <v>12</v>
      </c>
      <c r="R55" s="72"/>
      <c r="S55" s="73"/>
      <c r="T55" s="100" t="str">
        <f t="shared" si="5"/>
        <v>O.K</v>
      </c>
      <c r="U55" s="101"/>
      <c r="V55" s="71">
        <v>1870.909091</v>
      </c>
      <c r="W55" s="72"/>
      <c r="X55" s="72"/>
      <c r="Y55" s="73"/>
      <c r="Z55" s="71">
        <v>1350</v>
      </c>
      <c r="AA55" s="72"/>
      <c r="AB55" s="72"/>
      <c r="AC55" s="73"/>
      <c r="AD55" s="100" t="str">
        <f t="shared" si="6"/>
        <v>N.G</v>
      </c>
      <c r="AE55" s="101"/>
      <c r="AF55" s="71" t="s">
        <v>212</v>
      </c>
      <c r="AG55" s="72"/>
      <c r="AH55" s="72"/>
      <c r="AI55" s="73"/>
      <c r="AJ55" s="71" t="s">
        <v>212</v>
      </c>
      <c r="AK55" s="72"/>
      <c r="AL55" s="72"/>
      <c r="AM55" s="73"/>
      <c r="AN55" s="100" t="str">
        <f t="shared" si="7"/>
        <v>O.K</v>
      </c>
      <c r="AO55" s="133"/>
      <c r="AP55" s="101"/>
    </row>
    <row r="56" spans="2:42" ht="21" customHeight="1">
      <c r="B56" s="100" t="s">
        <v>181</v>
      </c>
      <c r="C56" s="133"/>
      <c r="D56" s="133"/>
      <c r="E56" s="101"/>
      <c r="F56" s="71">
        <v>18.684211</v>
      </c>
      <c r="G56" s="72"/>
      <c r="H56" s="73"/>
      <c r="I56" s="71">
        <v>14</v>
      </c>
      <c r="J56" s="72"/>
      <c r="K56" s="73"/>
      <c r="L56" s="100" t="str">
        <f t="shared" si="4"/>
        <v>N.G</v>
      </c>
      <c r="M56" s="101"/>
      <c r="N56" s="71">
        <v>9.375</v>
      </c>
      <c r="O56" s="72"/>
      <c r="P56" s="73"/>
      <c r="Q56" s="71">
        <v>12</v>
      </c>
      <c r="R56" s="72"/>
      <c r="S56" s="73"/>
      <c r="T56" s="100" t="str">
        <f t="shared" si="5"/>
        <v>O.K</v>
      </c>
      <c r="U56" s="101"/>
      <c r="V56" s="71">
        <v>1870.909091</v>
      </c>
      <c r="W56" s="72"/>
      <c r="X56" s="72"/>
      <c r="Y56" s="73"/>
      <c r="Z56" s="71">
        <v>1350</v>
      </c>
      <c r="AA56" s="72"/>
      <c r="AB56" s="72"/>
      <c r="AC56" s="73"/>
      <c r="AD56" s="100" t="str">
        <f t="shared" si="6"/>
        <v>N.G</v>
      </c>
      <c r="AE56" s="101"/>
      <c r="AF56" s="71" t="s">
        <v>210</v>
      </c>
      <c r="AG56" s="72"/>
      <c r="AH56" s="72"/>
      <c r="AI56" s="73"/>
      <c r="AJ56" s="71" t="s">
        <v>210</v>
      </c>
      <c r="AK56" s="72"/>
      <c r="AL56" s="72"/>
      <c r="AM56" s="73"/>
      <c r="AN56" s="100" t="str">
        <f t="shared" si="7"/>
        <v>O.K</v>
      </c>
      <c r="AO56" s="133"/>
      <c r="AP56" s="101"/>
    </row>
    <row r="57" spans="2:42" ht="21" customHeight="1">
      <c r="B57" s="100" t="s">
        <v>182</v>
      </c>
      <c r="C57" s="133"/>
      <c r="D57" s="133"/>
      <c r="E57" s="101"/>
      <c r="F57" s="71">
        <v>18.684211</v>
      </c>
      <c r="G57" s="72"/>
      <c r="H57" s="73"/>
      <c r="I57" s="71">
        <v>14</v>
      </c>
      <c r="J57" s="72"/>
      <c r="K57" s="73"/>
      <c r="L57" s="100" t="str">
        <f t="shared" si="4"/>
        <v>N.G</v>
      </c>
      <c r="M57" s="101"/>
      <c r="N57" s="71">
        <v>9.375</v>
      </c>
      <c r="O57" s="72"/>
      <c r="P57" s="73"/>
      <c r="Q57" s="71">
        <v>12</v>
      </c>
      <c r="R57" s="72"/>
      <c r="S57" s="73"/>
      <c r="T57" s="100" t="str">
        <f t="shared" si="5"/>
        <v>O.K</v>
      </c>
      <c r="U57" s="101"/>
      <c r="V57" s="71">
        <v>1870.909091</v>
      </c>
      <c r="W57" s="72"/>
      <c r="X57" s="72"/>
      <c r="Y57" s="73"/>
      <c r="Z57" s="71">
        <v>1350</v>
      </c>
      <c r="AA57" s="72"/>
      <c r="AB57" s="72"/>
      <c r="AC57" s="73"/>
      <c r="AD57" s="100" t="str">
        <f t="shared" si="6"/>
        <v>N.G</v>
      </c>
      <c r="AE57" s="101"/>
      <c r="AF57" s="71" t="s">
        <v>211</v>
      </c>
      <c r="AG57" s="72"/>
      <c r="AH57" s="72"/>
      <c r="AI57" s="73"/>
      <c r="AJ57" s="71" t="s">
        <v>211</v>
      </c>
      <c r="AK57" s="72"/>
      <c r="AL57" s="72"/>
      <c r="AM57" s="73"/>
      <c r="AN57" s="100" t="str">
        <f t="shared" si="7"/>
        <v>O.K</v>
      </c>
      <c r="AO57" s="133"/>
      <c r="AP57" s="101"/>
    </row>
    <row r="58" spans="2:42" ht="21" customHeight="1">
      <c r="B58" s="100" t="s">
        <v>183</v>
      </c>
      <c r="C58" s="133"/>
      <c r="D58" s="133"/>
      <c r="E58" s="101"/>
      <c r="F58" s="71">
        <v>18.684211</v>
      </c>
      <c r="G58" s="72"/>
      <c r="H58" s="73"/>
      <c r="I58" s="71">
        <v>14</v>
      </c>
      <c r="J58" s="72"/>
      <c r="K58" s="73"/>
      <c r="L58" s="100" t="str">
        <f t="shared" si="4"/>
        <v>N.G</v>
      </c>
      <c r="M58" s="101"/>
      <c r="N58" s="71">
        <v>9.375</v>
      </c>
      <c r="O58" s="72"/>
      <c r="P58" s="73"/>
      <c r="Q58" s="71">
        <v>12</v>
      </c>
      <c r="R58" s="72"/>
      <c r="S58" s="73"/>
      <c r="T58" s="100" t="str">
        <f t="shared" si="5"/>
        <v>O.K</v>
      </c>
      <c r="U58" s="101"/>
      <c r="V58" s="71">
        <v>1870.909091</v>
      </c>
      <c r="W58" s="72"/>
      <c r="X58" s="72"/>
      <c r="Y58" s="73"/>
      <c r="Z58" s="71">
        <v>1350</v>
      </c>
      <c r="AA58" s="72"/>
      <c r="AB58" s="72"/>
      <c r="AC58" s="73"/>
      <c r="AD58" s="100" t="str">
        <f t="shared" si="6"/>
        <v>N.G</v>
      </c>
      <c r="AE58" s="101"/>
      <c r="AF58" s="71" t="s">
        <v>211</v>
      </c>
      <c r="AG58" s="72"/>
      <c r="AH58" s="72"/>
      <c r="AI58" s="73"/>
      <c r="AJ58" s="71" t="s">
        <v>211</v>
      </c>
      <c r="AK58" s="72"/>
      <c r="AL58" s="72"/>
      <c r="AM58" s="73"/>
      <c r="AN58" s="100" t="str">
        <f t="shared" si="7"/>
        <v>O.K</v>
      </c>
      <c r="AO58" s="133"/>
      <c r="AP58" s="101"/>
    </row>
    <row r="59" spans="2:42" ht="21" customHeight="1">
      <c r="B59" s="100" t="s">
        <v>184</v>
      </c>
      <c r="C59" s="133"/>
      <c r="D59" s="133"/>
      <c r="E59" s="101"/>
      <c r="F59" s="71">
        <v>18.75</v>
      </c>
      <c r="G59" s="72"/>
      <c r="H59" s="73"/>
      <c r="I59" s="71">
        <v>14</v>
      </c>
      <c r="J59" s="72"/>
      <c r="K59" s="73"/>
      <c r="L59" s="100" t="str">
        <f t="shared" si="4"/>
        <v>N.G</v>
      </c>
      <c r="M59" s="101"/>
      <c r="N59" s="71">
        <v>9.375</v>
      </c>
      <c r="O59" s="72"/>
      <c r="P59" s="73"/>
      <c r="Q59" s="71">
        <v>12</v>
      </c>
      <c r="R59" s="72"/>
      <c r="S59" s="73"/>
      <c r="T59" s="100" t="str">
        <f t="shared" si="5"/>
        <v>O.K</v>
      </c>
      <c r="U59" s="101"/>
      <c r="V59" s="71">
        <v>1870.909091</v>
      </c>
      <c r="W59" s="72"/>
      <c r="X59" s="72"/>
      <c r="Y59" s="73"/>
      <c r="Z59" s="71">
        <v>1350</v>
      </c>
      <c r="AA59" s="72"/>
      <c r="AB59" s="72"/>
      <c r="AC59" s="73"/>
      <c r="AD59" s="100" t="str">
        <f t="shared" si="6"/>
        <v>N.G</v>
      </c>
      <c r="AE59" s="101"/>
      <c r="AF59" s="71" t="s">
        <v>210</v>
      </c>
      <c r="AG59" s="72"/>
      <c r="AH59" s="72"/>
      <c r="AI59" s="73"/>
      <c r="AJ59" s="71" t="s">
        <v>210</v>
      </c>
      <c r="AK59" s="72"/>
      <c r="AL59" s="72"/>
      <c r="AM59" s="73"/>
      <c r="AN59" s="100" t="str">
        <f t="shared" si="7"/>
        <v>O.K</v>
      </c>
      <c r="AO59" s="133"/>
      <c r="AP59" s="101"/>
    </row>
    <row r="60" spans="2:42" ht="21" customHeight="1">
      <c r="B60" s="100" t="s">
        <v>185</v>
      </c>
      <c r="C60" s="133"/>
      <c r="D60" s="133"/>
      <c r="E60" s="101"/>
      <c r="F60" s="71">
        <v>11.132813</v>
      </c>
      <c r="G60" s="72"/>
      <c r="H60" s="73"/>
      <c r="I60" s="71">
        <v>14</v>
      </c>
      <c r="J60" s="72"/>
      <c r="K60" s="73"/>
      <c r="L60" s="100" t="str">
        <f t="shared" si="4"/>
        <v>O.K</v>
      </c>
      <c r="M60" s="101"/>
      <c r="N60" s="71">
        <v>9.375</v>
      </c>
      <c r="O60" s="72"/>
      <c r="P60" s="73"/>
      <c r="Q60" s="71">
        <v>12</v>
      </c>
      <c r="R60" s="72"/>
      <c r="S60" s="73"/>
      <c r="T60" s="100" t="str">
        <f t="shared" si="5"/>
        <v>O.K</v>
      </c>
      <c r="U60" s="101"/>
      <c r="V60" s="71">
        <v>1870.909091</v>
      </c>
      <c r="W60" s="72"/>
      <c r="X60" s="72"/>
      <c r="Y60" s="73"/>
      <c r="Z60" s="71">
        <v>1350</v>
      </c>
      <c r="AA60" s="72"/>
      <c r="AB60" s="72"/>
      <c r="AC60" s="73"/>
      <c r="AD60" s="100" t="str">
        <f t="shared" si="6"/>
        <v>N.G</v>
      </c>
      <c r="AE60" s="101"/>
      <c r="AF60" s="71">
        <v>574</v>
      </c>
      <c r="AG60" s="72"/>
      <c r="AH60" s="72"/>
      <c r="AI60" s="73"/>
      <c r="AJ60" s="71">
        <v>574</v>
      </c>
      <c r="AK60" s="72"/>
      <c r="AL60" s="72"/>
      <c r="AM60" s="73"/>
      <c r="AN60" s="100" t="str">
        <f t="shared" si="7"/>
        <v>O.K</v>
      </c>
      <c r="AO60" s="133"/>
      <c r="AP60" s="101"/>
    </row>
    <row r="61" spans="2:42" ht="21" customHeight="1">
      <c r="B61" s="100" t="s">
        <v>186</v>
      </c>
      <c r="C61" s="133"/>
      <c r="D61" s="133"/>
      <c r="E61" s="101"/>
      <c r="F61" s="71">
        <v>11.09375</v>
      </c>
      <c r="G61" s="72"/>
      <c r="H61" s="73"/>
      <c r="I61" s="71">
        <v>14</v>
      </c>
      <c r="J61" s="72"/>
      <c r="K61" s="73"/>
      <c r="L61" s="100" t="str">
        <f t="shared" si="4"/>
        <v>O.K</v>
      </c>
      <c r="M61" s="101"/>
      <c r="N61" s="71">
        <v>9.375</v>
      </c>
      <c r="O61" s="72"/>
      <c r="P61" s="73"/>
      <c r="Q61" s="71">
        <v>12</v>
      </c>
      <c r="R61" s="72"/>
      <c r="S61" s="73"/>
      <c r="T61" s="100" t="str">
        <f t="shared" si="5"/>
        <v>O.K</v>
      </c>
      <c r="U61" s="101"/>
      <c r="V61" s="71">
        <v>1870.909091</v>
      </c>
      <c r="W61" s="72"/>
      <c r="X61" s="72"/>
      <c r="Y61" s="73"/>
      <c r="Z61" s="71">
        <v>1350</v>
      </c>
      <c r="AA61" s="72"/>
      <c r="AB61" s="72"/>
      <c r="AC61" s="73"/>
      <c r="AD61" s="100" t="str">
        <f t="shared" si="6"/>
        <v>N.G</v>
      </c>
      <c r="AE61" s="101"/>
      <c r="AF61" s="71">
        <v>570</v>
      </c>
      <c r="AG61" s="72"/>
      <c r="AH61" s="72"/>
      <c r="AI61" s="73"/>
      <c r="AJ61" s="71">
        <v>570</v>
      </c>
      <c r="AK61" s="72"/>
      <c r="AL61" s="72"/>
      <c r="AM61" s="73"/>
      <c r="AN61" s="100" t="str">
        <f t="shared" si="7"/>
        <v>O.K</v>
      </c>
      <c r="AO61" s="133"/>
      <c r="AP61" s="101"/>
    </row>
    <row r="62" spans="2:42" ht="21" customHeight="1">
      <c r="B62" s="100" t="s">
        <v>187</v>
      </c>
      <c r="C62" s="133"/>
      <c r="D62" s="133"/>
      <c r="E62" s="101"/>
      <c r="F62" s="71">
        <v>10.579314</v>
      </c>
      <c r="G62" s="72"/>
      <c r="H62" s="73"/>
      <c r="I62" s="71">
        <v>14</v>
      </c>
      <c r="J62" s="72"/>
      <c r="K62" s="73"/>
      <c r="L62" s="100" t="str">
        <f t="shared" si="4"/>
        <v>O.K</v>
      </c>
      <c r="M62" s="101"/>
      <c r="N62" s="71">
        <v>9.375</v>
      </c>
      <c r="O62" s="72"/>
      <c r="P62" s="73"/>
      <c r="Q62" s="71">
        <v>12</v>
      </c>
      <c r="R62" s="72"/>
      <c r="S62" s="73"/>
      <c r="T62" s="100" t="str">
        <f t="shared" si="5"/>
        <v>O.K</v>
      </c>
      <c r="U62" s="101"/>
      <c r="V62" s="71">
        <v>1870.909091</v>
      </c>
      <c r="W62" s="72"/>
      <c r="X62" s="72"/>
      <c r="Y62" s="73"/>
      <c r="Z62" s="71">
        <v>1350</v>
      </c>
      <c r="AA62" s="72"/>
      <c r="AB62" s="72"/>
      <c r="AC62" s="73"/>
      <c r="AD62" s="100" t="str">
        <f t="shared" si="6"/>
        <v>N.G</v>
      </c>
      <c r="AE62" s="101"/>
      <c r="AF62" s="71">
        <v>568</v>
      </c>
      <c r="AG62" s="72"/>
      <c r="AH62" s="72"/>
      <c r="AI62" s="73"/>
      <c r="AJ62" s="71">
        <v>568</v>
      </c>
      <c r="AK62" s="72"/>
      <c r="AL62" s="72"/>
      <c r="AM62" s="73"/>
      <c r="AN62" s="100" t="str">
        <f t="shared" si="7"/>
        <v>O.K</v>
      </c>
      <c r="AO62" s="133"/>
      <c r="AP62" s="101"/>
    </row>
    <row r="63" spans="2:42" ht="21" customHeight="1">
      <c r="B63" s="100" t="s">
        <v>188</v>
      </c>
      <c r="C63" s="133"/>
      <c r="D63" s="133"/>
      <c r="E63" s="101"/>
      <c r="F63" s="71">
        <v>11.09375</v>
      </c>
      <c r="G63" s="72"/>
      <c r="H63" s="73"/>
      <c r="I63" s="71">
        <v>14</v>
      </c>
      <c r="J63" s="72"/>
      <c r="K63" s="73"/>
      <c r="L63" s="100" t="str">
        <f t="shared" si="4"/>
        <v>O.K</v>
      </c>
      <c r="M63" s="101"/>
      <c r="N63" s="71">
        <v>9.375</v>
      </c>
      <c r="O63" s="72"/>
      <c r="P63" s="73"/>
      <c r="Q63" s="71">
        <v>12</v>
      </c>
      <c r="R63" s="72"/>
      <c r="S63" s="73"/>
      <c r="T63" s="100" t="str">
        <f t="shared" si="5"/>
        <v>O.K</v>
      </c>
      <c r="U63" s="101"/>
      <c r="V63" s="71">
        <v>1870.909091</v>
      </c>
      <c r="W63" s="72"/>
      <c r="X63" s="72"/>
      <c r="Y63" s="73"/>
      <c r="Z63" s="71">
        <v>1350</v>
      </c>
      <c r="AA63" s="72"/>
      <c r="AB63" s="72"/>
      <c r="AC63" s="73"/>
      <c r="AD63" s="100" t="str">
        <f t="shared" si="6"/>
        <v>N.G</v>
      </c>
      <c r="AE63" s="101"/>
      <c r="AF63" s="71">
        <v>568</v>
      </c>
      <c r="AG63" s="72"/>
      <c r="AH63" s="72"/>
      <c r="AI63" s="73"/>
      <c r="AJ63" s="71">
        <v>568</v>
      </c>
      <c r="AK63" s="72"/>
      <c r="AL63" s="72"/>
      <c r="AM63" s="73"/>
      <c r="AN63" s="100" t="str">
        <f t="shared" si="7"/>
        <v>O.K</v>
      </c>
      <c r="AO63" s="133"/>
      <c r="AP63" s="101"/>
    </row>
    <row r="64" spans="2:42" ht="21" customHeight="1">
      <c r="B64" s="100" t="s">
        <v>189</v>
      </c>
      <c r="C64" s="133"/>
      <c r="D64" s="133"/>
      <c r="E64" s="101"/>
      <c r="F64" s="71">
        <v>9.593836</v>
      </c>
      <c r="G64" s="72"/>
      <c r="H64" s="73"/>
      <c r="I64" s="71">
        <v>14</v>
      </c>
      <c r="J64" s="72"/>
      <c r="K64" s="73"/>
      <c r="L64" s="100" t="str">
        <f t="shared" si="4"/>
        <v>O.K</v>
      </c>
      <c r="M64" s="101"/>
      <c r="N64" s="71">
        <v>9.375</v>
      </c>
      <c r="O64" s="72"/>
      <c r="P64" s="73"/>
      <c r="Q64" s="71">
        <v>12</v>
      </c>
      <c r="R64" s="72"/>
      <c r="S64" s="73"/>
      <c r="T64" s="100" t="str">
        <f t="shared" si="5"/>
        <v>O.K</v>
      </c>
      <c r="U64" s="101"/>
      <c r="V64" s="71">
        <v>1870.909091</v>
      </c>
      <c r="W64" s="72"/>
      <c r="X64" s="72"/>
      <c r="Y64" s="73"/>
      <c r="Z64" s="71">
        <v>1350</v>
      </c>
      <c r="AA64" s="72"/>
      <c r="AB64" s="72"/>
      <c r="AC64" s="73"/>
      <c r="AD64" s="100" t="str">
        <f t="shared" si="6"/>
        <v>N.G</v>
      </c>
      <c r="AE64" s="101"/>
      <c r="AF64" s="71">
        <v>572</v>
      </c>
      <c r="AG64" s="72"/>
      <c r="AH64" s="72"/>
      <c r="AI64" s="73"/>
      <c r="AJ64" s="71">
        <v>572</v>
      </c>
      <c r="AK64" s="72"/>
      <c r="AL64" s="72"/>
      <c r="AM64" s="73"/>
      <c r="AN64" s="100" t="str">
        <f t="shared" si="7"/>
        <v>O.K</v>
      </c>
      <c r="AO64" s="133"/>
      <c r="AP64" s="101"/>
    </row>
    <row r="65" spans="2:42" ht="21" customHeight="1">
      <c r="B65" s="100" t="s">
        <v>190</v>
      </c>
      <c r="C65" s="133"/>
      <c r="D65" s="133"/>
      <c r="E65" s="101"/>
      <c r="F65" s="71">
        <v>11.09375</v>
      </c>
      <c r="G65" s="72"/>
      <c r="H65" s="73"/>
      <c r="I65" s="71">
        <v>14</v>
      </c>
      <c r="J65" s="72"/>
      <c r="K65" s="73"/>
      <c r="L65" s="100" t="str">
        <f t="shared" si="4"/>
        <v>O.K</v>
      </c>
      <c r="M65" s="101"/>
      <c r="N65" s="71">
        <v>9.375</v>
      </c>
      <c r="O65" s="72"/>
      <c r="P65" s="73"/>
      <c r="Q65" s="71">
        <v>12</v>
      </c>
      <c r="R65" s="72"/>
      <c r="S65" s="73"/>
      <c r="T65" s="100" t="str">
        <f t="shared" si="5"/>
        <v>O.K</v>
      </c>
      <c r="U65" s="101"/>
      <c r="V65" s="71">
        <v>1870.909091</v>
      </c>
      <c r="W65" s="72"/>
      <c r="X65" s="72"/>
      <c r="Y65" s="73"/>
      <c r="Z65" s="71">
        <v>1350</v>
      </c>
      <c r="AA65" s="72"/>
      <c r="AB65" s="72"/>
      <c r="AC65" s="73"/>
      <c r="AD65" s="100" t="str">
        <f t="shared" si="6"/>
        <v>N.G</v>
      </c>
      <c r="AE65" s="101"/>
      <c r="AF65" s="71">
        <v>568</v>
      </c>
      <c r="AG65" s="72"/>
      <c r="AH65" s="72"/>
      <c r="AI65" s="73"/>
      <c r="AJ65" s="71">
        <v>568</v>
      </c>
      <c r="AK65" s="72"/>
      <c r="AL65" s="72"/>
      <c r="AM65" s="73"/>
      <c r="AN65" s="100" t="str">
        <f t="shared" si="7"/>
        <v>O.K</v>
      </c>
      <c r="AO65" s="133"/>
      <c r="AP65" s="101"/>
    </row>
    <row r="66" spans="2:42" ht="21" customHeight="1">
      <c r="B66" s="100" t="s">
        <v>191</v>
      </c>
      <c r="C66" s="133"/>
      <c r="D66" s="133"/>
      <c r="E66" s="101"/>
      <c r="F66" s="71">
        <v>10.056186</v>
      </c>
      <c r="G66" s="72"/>
      <c r="H66" s="73"/>
      <c r="I66" s="71">
        <v>14</v>
      </c>
      <c r="J66" s="72"/>
      <c r="K66" s="73"/>
      <c r="L66" s="100" t="str">
        <f t="shared" si="4"/>
        <v>O.K</v>
      </c>
      <c r="M66" s="101"/>
      <c r="N66" s="71">
        <v>9.375</v>
      </c>
      <c r="O66" s="72"/>
      <c r="P66" s="73"/>
      <c r="Q66" s="71">
        <v>12</v>
      </c>
      <c r="R66" s="72"/>
      <c r="S66" s="73"/>
      <c r="T66" s="100" t="str">
        <f t="shared" si="5"/>
        <v>O.K</v>
      </c>
      <c r="U66" s="101"/>
      <c r="V66" s="71">
        <v>1870.909091</v>
      </c>
      <c r="W66" s="72"/>
      <c r="X66" s="72"/>
      <c r="Y66" s="73"/>
      <c r="Z66" s="71">
        <v>1350</v>
      </c>
      <c r="AA66" s="72"/>
      <c r="AB66" s="72"/>
      <c r="AC66" s="73"/>
      <c r="AD66" s="100" t="str">
        <f t="shared" si="6"/>
        <v>N.G</v>
      </c>
      <c r="AE66" s="101"/>
      <c r="AF66" s="71">
        <v>568</v>
      </c>
      <c r="AG66" s="72"/>
      <c r="AH66" s="72"/>
      <c r="AI66" s="73"/>
      <c r="AJ66" s="71">
        <v>568</v>
      </c>
      <c r="AK66" s="72"/>
      <c r="AL66" s="72"/>
      <c r="AM66" s="73"/>
      <c r="AN66" s="100" t="str">
        <f t="shared" si="7"/>
        <v>O.K</v>
      </c>
      <c r="AO66" s="133"/>
      <c r="AP66" s="101"/>
    </row>
    <row r="67" spans="2:42" ht="21" customHeight="1">
      <c r="B67" s="100" t="s">
        <v>192</v>
      </c>
      <c r="C67" s="133"/>
      <c r="D67" s="133"/>
      <c r="E67" s="101"/>
      <c r="F67" s="71">
        <v>9.750689</v>
      </c>
      <c r="G67" s="72"/>
      <c r="H67" s="73"/>
      <c r="I67" s="71">
        <v>14</v>
      </c>
      <c r="J67" s="72"/>
      <c r="K67" s="73"/>
      <c r="L67" s="100" t="str">
        <f t="shared" si="4"/>
        <v>O.K</v>
      </c>
      <c r="M67" s="101"/>
      <c r="N67" s="71">
        <v>9.375</v>
      </c>
      <c r="O67" s="72"/>
      <c r="P67" s="73"/>
      <c r="Q67" s="71">
        <v>12</v>
      </c>
      <c r="R67" s="72"/>
      <c r="S67" s="73"/>
      <c r="T67" s="100" t="str">
        <f t="shared" si="5"/>
        <v>O.K</v>
      </c>
      <c r="U67" s="101"/>
      <c r="V67" s="71">
        <v>1870.909091</v>
      </c>
      <c r="W67" s="72"/>
      <c r="X67" s="72"/>
      <c r="Y67" s="73"/>
      <c r="Z67" s="71">
        <v>1350</v>
      </c>
      <c r="AA67" s="72"/>
      <c r="AB67" s="72"/>
      <c r="AC67" s="73"/>
      <c r="AD67" s="100" t="str">
        <f t="shared" si="6"/>
        <v>N.G</v>
      </c>
      <c r="AE67" s="101"/>
      <c r="AF67" s="71">
        <v>574</v>
      </c>
      <c r="AG67" s="72"/>
      <c r="AH67" s="72"/>
      <c r="AI67" s="73"/>
      <c r="AJ67" s="71">
        <v>574</v>
      </c>
      <c r="AK67" s="72"/>
      <c r="AL67" s="72"/>
      <c r="AM67" s="73"/>
      <c r="AN67" s="100" t="str">
        <f t="shared" si="7"/>
        <v>O.K</v>
      </c>
      <c r="AO67" s="133"/>
      <c r="AP67" s="101"/>
    </row>
    <row r="68" spans="2:42" ht="21" customHeight="1">
      <c r="B68" s="100" t="s">
        <v>193</v>
      </c>
      <c r="C68" s="133"/>
      <c r="D68" s="133"/>
      <c r="E68" s="101"/>
      <c r="F68" s="71">
        <v>9.309896</v>
      </c>
      <c r="G68" s="72"/>
      <c r="H68" s="73"/>
      <c r="I68" s="71">
        <v>14</v>
      </c>
      <c r="J68" s="72"/>
      <c r="K68" s="73"/>
      <c r="L68" s="100" t="str">
        <f t="shared" si="4"/>
        <v>O.K</v>
      </c>
      <c r="M68" s="101"/>
      <c r="N68" s="71">
        <v>9.375</v>
      </c>
      <c r="O68" s="72"/>
      <c r="P68" s="73"/>
      <c r="Q68" s="71">
        <v>12</v>
      </c>
      <c r="R68" s="72"/>
      <c r="S68" s="73"/>
      <c r="T68" s="100" t="str">
        <f t="shared" si="5"/>
        <v>O.K</v>
      </c>
      <c r="U68" s="101"/>
      <c r="V68" s="71">
        <v>1870.909091</v>
      </c>
      <c r="W68" s="72"/>
      <c r="X68" s="72"/>
      <c r="Y68" s="73"/>
      <c r="Z68" s="71">
        <v>1350</v>
      </c>
      <c r="AA68" s="72"/>
      <c r="AB68" s="72"/>
      <c r="AC68" s="73"/>
      <c r="AD68" s="100" t="str">
        <f t="shared" si="6"/>
        <v>N.G</v>
      </c>
      <c r="AE68" s="101"/>
      <c r="AF68" s="71">
        <v>572</v>
      </c>
      <c r="AG68" s="72"/>
      <c r="AH68" s="72"/>
      <c r="AI68" s="73"/>
      <c r="AJ68" s="71">
        <v>572</v>
      </c>
      <c r="AK68" s="72"/>
      <c r="AL68" s="72"/>
      <c r="AM68" s="73"/>
      <c r="AN68" s="100" t="str">
        <f t="shared" si="7"/>
        <v>O.K</v>
      </c>
      <c r="AO68" s="133"/>
      <c r="AP68" s="101"/>
    </row>
    <row r="69" spans="2:42" ht="21" customHeight="1">
      <c r="B69" s="100" t="s">
        <v>194</v>
      </c>
      <c r="C69" s="133"/>
      <c r="D69" s="133"/>
      <c r="E69" s="101"/>
      <c r="F69" s="71">
        <v>9.600475</v>
      </c>
      <c r="G69" s="72"/>
      <c r="H69" s="73"/>
      <c r="I69" s="71">
        <v>14</v>
      </c>
      <c r="J69" s="72"/>
      <c r="K69" s="73"/>
      <c r="L69" s="100" t="str">
        <f t="shared" si="4"/>
        <v>O.K</v>
      </c>
      <c r="M69" s="101"/>
      <c r="N69" s="71">
        <v>9.375</v>
      </c>
      <c r="O69" s="72"/>
      <c r="P69" s="73"/>
      <c r="Q69" s="71">
        <v>12</v>
      </c>
      <c r="R69" s="72"/>
      <c r="S69" s="73"/>
      <c r="T69" s="100" t="str">
        <f t="shared" si="5"/>
        <v>O.K</v>
      </c>
      <c r="U69" s="101"/>
      <c r="V69" s="71">
        <v>1870.909091</v>
      </c>
      <c r="W69" s="72"/>
      <c r="X69" s="72"/>
      <c r="Y69" s="73"/>
      <c r="Z69" s="71">
        <v>1350</v>
      </c>
      <c r="AA69" s="72"/>
      <c r="AB69" s="72"/>
      <c r="AC69" s="73"/>
      <c r="AD69" s="100" t="str">
        <f t="shared" si="6"/>
        <v>N.G</v>
      </c>
      <c r="AE69" s="101"/>
      <c r="AF69" s="71">
        <v>572</v>
      </c>
      <c r="AG69" s="72"/>
      <c r="AH69" s="72"/>
      <c r="AI69" s="73"/>
      <c r="AJ69" s="71">
        <v>572</v>
      </c>
      <c r="AK69" s="72"/>
      <c r="AL69" s="72"/>
      <c r="AM69" s="73"/>
      <c r="AN69" s="100" t="str">
        <f t="shared" si="7"/>
        <v>O.K</v>
      </c>
      <c r="AO69" s="133"/>
      <c r="AP69" s="101"/>
    </row>
    <row r="70" spans="2:42" ht="21" customHeight="1">
      <c r="B70" s="100" t="s">
        <v>195</v>
      </c>
      <c r="C70" s="133"/>
      <c r="D70" s="133"/>
      <c r="E70" s="101"/>
      <c r="F70" s="71">
        <v>10.236997</v>
      </c>
      <c r="G70" s="72"/>
      <c r="H70" s="73"/>
      <c r="I70" s="71">
        <v>14</v>
      </c>
      <c r="J70" s="72"/>
      <c r="K70" s="73"/>
      <c r="L70" s="100" t="str">
        <f t="shared" si="4"/>
        <v>O.K</v>
      </c>
      <c r="M70" s="101"/>
      <c r="N70" s="71">
        <v>9.375</v>
      </c>
      <c r="O70" s="72"/>
      <c r="P70" s="73"/>
      <c r="Q70" s="71">
        <v>12</v>
      </c>
      <c r="R70" s="72"/>
      <c r="S70" s="73"/>
      <c r="T70" s="100" t="str">
        <f t="shared" si="5"/>
        <v>O.K</v>
      </c>
      <c r="U70" s="101"/>
      <c r="V70" s="71">
        <v>1870.909091</v>
      </c>
      <c r="W70" s="72"/>
      <c r="X70" s="72"/>
      <c r="Y70" s="73"/>
      <c r="Z70" s="71">
        <v>1350</v>
      </c>
      <c r="AA70" s="72"/>
      <c r="AB70" s="72"/>
      <c r="AC70" s="73"/>
      <c r="AD70" s="100" t="str">
        <f t="shared" si="6"/>
        <v>N.G</v>
      </c>
      <c r="AE70" s="101"/>
      <c r="AF70" s="71">
        <v>572</v>
      </c>
      <c r="AG70" s="72"/>
      <c r="AH70" s="72"/>
      <c r="AI70" s="73"/>
      <c r="AJ70" s="71">
        <v>572</v>
      </c>
      <c r="AK70" s="72"/>
      <c r="AL70" s="72"/>
      <c r="AM70" s="73"/>
      <c r="AN70" s="100" t="str">
        <f t="shared" si="7"/>
        <v>O.K</v>
      </c>
      <c r="AO70" s="133"/>
      <c r="AP70" s="101"/>
    </row>
    <row r="71" spans="2:42" ht="21" customHeight="1">
      <c r="B71" s="100" t="s">
        <v>196</v>
      </c>
      <c r="C71" s="133"/>
      <c r="D71" s="133"/>
      <c r="E71" s="101"/>
      <c r="F71" s="71">
        <v>11.09375</v>
      </c>
      <c r="G71" s="72"/>
      <c r="H71" s="73"/>
      <c r="I71" s="71">
        <v>14</v>
      </c>
      <c r="J71" s="72"/>
      <c r="K71" s="73"/>
      <c r="L71" s="100" t="str">
        <f t="shared" si="4"/>
        <v>O.K</v>
      </c>
      <c r="M71" s="101"/>
      <c r="N71" s="71">
        <v>9.375</v>
      </c>
      <c r="O71" s="72"/>
      <c r="P71" s="73"/>
      <c r="Q71" s="71">
        <v>12</v>
      </c>
      <c r="R71" s="72"/>
      <c r="S71" s="73"/>
      <c r="T71" s="100" t="str">
        <f t="shared" si="5"/>
        <v>O.K</v>
      </c>
      <c r="U71" s="101"/>
      <c r="V71" s="71">
        <v>1870.909091</v>
      </c>
      <c r="W71" s="72"/>
      <c r="X71" s="72"/>
      <c r="Y71" s="73"/>
      <c r="Z71" s="71">
        <v>1350</v>
      </c>
      <c r="AA71" s="72"/>
      <c r="AB71" s="72"/>
      <c r="AC71" s="73"/>
      <c r="AD71" s="100" t="str">
        <f t="shared" si="6"/>
        <v>N.G</v>
      </c>
      <c r="AE71" s="101"/>
      <c r="AF71" s="71">
        <v>568</v>
      </c>
      <c r="AG71" s="72"/>
      <c r="AH71" s="72"/>
      <c r="AI71" s="73"/>
      <c r="AJ71" s="71">
        <v>568</v>
      </c>
      <c r="AK71" s="72"/>
      <c r="AL71" s="72"/>
      <c r="AM71" s="73"/>
      <c r="AN71" s="100" t="str">
        <f t="shared" si="7"/>
        <v>O.K</v>
      </c>
      <c r="AO71" s="133"/>
      <c r="AP71" s="101"/>
    </row>
    <row r="72" spans="2:42" ht="21" customHeight="1">
      <c r="B72" s="100" t="s">
        <v>197</v>
      </c>
      <c r="C72" s="133"/>
      <c r="D72" s="133"/>
      <c r="E72" s="101"/>
      <c r="F72" s="71">
        <v>9.400617</v>
      </c>
      <c r="G72" s="72"/>
      <c r="H72" s="73"/>
      <c r="I72" s="71">
        <v>14</v>
      </c>
      <c r="J72" s="72"/>
      <c r="K72" s="73"/>
      <c r="L72" s="100" t="str">
        <f t="shared" si="4"/>
        <v>O.K</v>
      </c>
      <c r="M72" s="101"/>
      <c r="N72" s="71">
        <v>9.375</v>
      </c>
      <c r="O72" s="72"/>
      <c r="P72" s="73"/>
      <c r="Q72" s="71">
        <v>12</v>
      </c>
      <c r="R72" s="72"/>
      <c r="S72" s="73"/>
      <c r="T72" s="100" t="str">
        <f t="shared" si="5"/>
        <v>O.K</v>
      </c>
      <c r="U72" s="101"/>
      <c r="V72" s="71">
        <v>1870.909091</v>
      </c>
      <c r="W72" s="72"/>
      <c r="X72" s="72"/>
      <c r="Y72" s="73"/>
      <c r="Z72" s="71">
        <v>1350</v>
      </c>
      <c r="AA72" s="72"/>
      <c r="AB72" s="72"/>
      <c r="AC72" s="73"/>
      <c r="AD72" s="100" t="str">
        <f t="shared" si="6"/>
        <v>N.G</v>
      </c>
      <c r="AE72" s="101"/>
      <c r="AF72" s="71">
        <v>568</v>
      </c>
      <c r="AG72" s="72"/>
      <c r="AH72" s="72"/>
      <c r="AI72" s="73"/>
      <c r="AJ72" s="71">
        <v>568</v>
      </c>
      <c r="AK72" s="72"/>
      <c r="AL72" s="72"/>
      <c r="AM72" s="73"/>
      <c r="AN72" s="100" t="str">
        <f t="shared" si="7"/>
        <v>O.K</v>
      </c>
      <c r="AO72" s="133"/>
      <c r="AP72" s="101"/>
    </row>
    <row r="73" spans="2:42" ht="21" customHeight="1">
      <c r="B73" s="100" t="s">
        <v>198</v>
      </c>
      <c r="C73" s="133"/>
      <c r="D73" s="133"/>
      <c r="E73" s="101"/>
      <c r="F73" s="71">
        <v>11.008719</v>
      </c>
      <c r="G73" s="72"/>
      <c r="H73" s="73"/>
      <c r="I73" s="71">
        <v>14</v>
      </c>
      <c r="J73" s="72"/>
      <c r="K73" s="73"/>
      <c r="L73" s="100" t="str">
        <f t="shared" si="4"/>
        <v>O.K</v>
      </c>
      <c r="M73" s="101"/>
      <c r="N73" s="71">
        <v>9.375</v>
      </c>
      <c r="O73" s="72"/>
      <c r="P73" s="73"/>
      <c r="Q73" s="71">
        <v>12</v>
      </c>
      <c r="R73" s="72"/>
      <c r="S73" s="73"/>
      <c r="T73" s="100" t="str">
        <f t="shared" si="5"/>
        <v>O.K</v>
      </c>
      <c r="U73" s="101"/>
      <c r="V73" s="71">
        <v>1870.909091</v>
      </c>
      <c r="W73" s="72"/>
      <c r="X73" s="72"/>
      <c r="Y73" s="73"/>
      <c r="Z73" s="71">
        <v>1350</v>
      </c>
      <c r="AA73" s="72"/>
      <c r="AB73" s="72"/>
      <c r="AC73" s="73"/>
      <c r="AD73" s="100" t="str">
        <f t="shared" si="6"/>
        <v>N.G</v>
      </c>
      <c r="AE73" s="101"/>
      <c r="AF73" s="71">
        <v>570</v>
      </c>
      <c r="AG73" s="72"/>
      <c r="AH73" s="72"/>
      <c r="AI73" s="73"/>
      <c r="AJ73" s="71">
        <v>570</v>
      </c>
      <c r="AK73" s="72"/>
      <c r="AL73" s="72"/>
      <c r="AM73" s="73"/>
      <c r="AN73" s="100" t="str">
        <f t="shared" si="7"/>
        <v>O.K</v>
      </c>
      <c r="AO73" s="133"/>
      <c r="AP73" s="101"/>
    </row>
    <row r="74" spans="2:42" ht="21" customHeight="1">
      <c r="B74" s="100" t="s">
        <v>199</v>
      </c>
      <c r="C74" s="133"/>
      <c r="D74" s="133"/>
      <c r="E74" s="101"/>
      <c r="F74" s="71">
        <v>10.519887</v>
      </c>
      <c r="G74" s="72"/>
      <c r="H74" s="73"/>
      <c r="I74" s="71">
        <v>14</v>
      </c>
      <c r="J74" s="72"/>
      <c r="K74" s="73"/>
      <c r="L74" s="100" t="str">
        <f t="shared" si="4"/>
        <v>O.K</v>
      </c>
      <c r="M74" s="101"/>
      <c r="N74" s="71">
        <v>9.375</v>
      </c>
      <c r="O74" s="72"/>
      <c r="P74" s="73"/>
      <c r="Q74" s="71">
        <v>12</v>
      </c>
      <c r="R74" s="72"/>
      <c r="S74" s="73"/>
      <c r="T74" s="100" t="str">
        <f t="shared" si="5"/>
        <v>O.K</v>
      </c>
      <c r="U74" s="101"/>
      <c r="V74" s="71">
        <v>1870.909091</v>
      </c>
      <c r="W74" s="72"/>
      <c r="X74" s="72"/>
      <c r="Y74" s="73"/>
      <c r="Z74" s="71">
        <v>1350</v>
      </c>
      <c r="AA74" s="72"/>
      <c r="AB74" s="72"/>
      <c r="AC74" s="73"/>
      <c r="AD74" s="100" t="str">
        <f t="shared" si="6"/>
        <v>N.G</v>
      </c>
      <c r="AE74" s="101"/>
      <c r="AF74" s="71">
        <v>568</v>
      </c>
      <c r="AG74" s="72"/>
      <c r="AH74" s="72"/>
      <c r="AI74" s="73"/>
      <c r="AJ74" s="71">
        <v>568</v>
      </c>
      <c r="AK74" s="72"/>
      <c r="AL74" s="72"/>
      <c r="AM74" s="73"/>
      <c r="AN74" s="100" t="str">
        <f t="shared" si="7"/>
        <v>O.K</v>
      </c>
      <c r="AO74" s="133"/>
      <c r="AP74" s="101"/>
    </row>
    <row r="75" spans="2:42" ht="21" customHeight="1">
      <c r="B75" s="100" t="s">
        <v>200</v>
      </c>
      <c r="C75" s="133"/>
      <c r="D75" s="133"/>
      <c r="E75" s="101"/>
      <c r="F75" s="71">
        <v>11.09375</v>
      </c>
      <c r="G75" s="72"/>
      <c r="H75" s="73"/>
      <c r="I75" s="71">
        <v>14</v>
      </c>
      <c r="J75" s="72"/>
      <c r="K75" s="73"/>
      <c r="L75" s="100" t="str">
        <f t="shared" si="4"/>
        <v>O.K</v>
      </c>
      <c r="M75" s="101"/>
      <c r="N75" s="71">
        <v>9.375</v>
      </c>
      <c r="O75" s="72"/>
      <c r="P75" s="73"/>
      <c r="Q75" s="71">
        <v>12</v>
      </c>
      <c r="R75" s="72"/>
      <c r="S75" s="73"/>
      <c r="T75" s="100" t="str">
        <f t="shared" si="5"/>
        <v>O.K</v>
      </c>
      <c r="U75" s="101"/>
      <c r="V75" s="71">
        <v>1870.909091</v>
      </c>
      <c r="W75" s="72"/>
      <c r="X75" s="72"/>
      <c r="Y75" s="73"/>
      <c r="Z75" s="71">
        <v>1350</v>
      </c>
      <c r="AA75" s="72"/>
      <c r="AB75" s="72"/>
      <c r="AC75" s="73"/>
      <c r="AD75" s="100" t="str">
        <f t="shared" si="6"/>
        <v>N.G</v>
      </c>
      <c r="AE75" s="101"/>
      <c r="AF75" s="71">
        <v>568</v>
      </c>
      <c r="AG75" s="72"/>
      <c r="AH75" s="72"/>
      <c r="AI75" s="73"/>
      <c r="AJ75" s="71">
        <v>568</v>
      </c>
      <c r="AK75" s="72"/>
      <c r="AL75" s="72"/>
      <c r="AM75" s="73"/>
      <c r="AN75" s="100" t="str">
        <f t="shared" si="7"/>
        <v>O.K</v>
      </c>
      <c r="AO75" s="133"/>
      <c r="AP75" s="101"/>
    </row>
    <row r="76" spans="2:42" ht="21" customHeight="1">
      <c r="B76" s="100" t="s">
        <v>201</v>
      </c>
      <c r="C76" s="133"/>
      <c r="D76" s="133"/>
      <c r="E76" s="101"/>
      <c r="F76" s="71">
        <v>11.132813</v>
      </c>
      <c r="G76" s="72"/>
      <c r="H76" s="73"/>
      <c r="I76" s="71">
        <v>14</v>
      </c>
      <c r="J76" s="72"/>
      <c r="K76" s="73"/>
      <c r="L76" s="100" t="str">
        <f t="shared" si="4"/>
        <v>O.K</v>
      </c>
      <c r="M76" s="101"/>
      <c r="N76" s="71">
        <v>9.375</v>
      </c>
      <c r="O76" s="72"/>
      <c r="P76" s="73"/>
      <c r="Q76" s="71">
        <v>12</v>
      </c>
      <c r="R76" s="72"/>
      <c r="S76" s="73"/>
      <c r="T76" s="100" t="str">
        <f t="shared" si="5"/>
        <v>O.K</v>
      </c>
      <c r="U76" s="101"/>
      <c r="V76" s="71">
        <v>1870.909091</v>
      </c>
      <c r="W76" s="72"/>
      <c r="X76" s="72"/>
      <c r="Y76" s="73"/>
      <c r="Z76" s="71">
        <v>1350</v>
      </c>
      <c r="AA76" s="72"/>
      <c r="AB76" s="72"/>
      <c r="AC76" s="73"/>
      <c r="AD76" s="100" t="str">
        <f t="shared" si="6"/>
        <v>N.G</v>
      </c>
      <c r="AE76" s="101"/>
      <c r="AF76" s="71">
        <v>570</v>
      </c>
      <c r="AG76" s="72"/>
      <c r="AH76" s="72"/>
      <c r="AI76" s="73"/>
      <c r="AJ76" s="71">
        <v>570</v>
      </c>
      <c r="AK76" s="72"/>
      <c r="AL76" s="72"/>
      <c r="AM76" s="73"/>
      <c r="AN76" s="100" t="str">
        <f t="shared" si="7"/>
        <v>O.K</v>
      </c>
      <c r="AO76" s="133"/>
      <c r="AP76" s="101"/>
    </row>
  </sheetData>
  <mergeCells count="918">
    <mergeCell ref="B3:E4"/>
    <mergeCell ref="F3:M3"/>
    <mergeCell ref="N3:U3"/>
    <mergeCell ref="V3:AC3"/>
    <mergeCell ref="AD3:AP3"/>
    <mergeCell ref="F4:H4"/>
    <mergeCell ref="I4:K4"/>
    <mergeCell ref="L4:M4"/>
    <mergeCell ref="N4:P4"/>
    <mergeCell ref="Q4:S4"/>
    <mergeCell ref="T4:U4"/>
    <mergeCell ref="V4:X4"/>
    <mergeCell ref="Y4:AA4"/>
    <mergeCell ref="AB4:AC4"/>
    <mergeCell ref="AD4:AH4"/>
    <mergeCell ref="AI4:AM4"/>
    <mergeCell ref="AN4:AP4"/>
    <mergeCell ref="B5:E5"/>
    <mergeCell ref="F5:H5"/>
    <mergeCell ref="I5:K5"/>
    <mergeCell ref="L5:M5"/>
    <mergeCell ref="N5:P5"/>
    <mergeCell ref="Q5:S5"/>
    <mergeCell ref="T5:U5"/>
    <mergeCell ref="V5:X5"/>
    <mergeCell ref="Y5:AA5"/>
    <mergeCell ref="AB5:AC5"/>
    <mergeCell ref="AD5:AH5"/>
    <mergeCell ref="AI5:AM5"/>
    <mergeCell ref="AN5:AP5"/>
    <mergeCell ref="B6:E6"/>
    <mergeCell ref="F6:H6"/>
    <mergeCell ref="I6:K6"/>
    <mergeCell ref="L6:M6"/>
    <mergeCell ref="N6:P6"/>
    <mergeCell ref="Q6:S6"/>
    <mergeCell ref="T6:U6"/>
    <mergeCell ref="V6:X6"/>
    <mergeCell ref="Y6:AA6"/>
    <mergeCell ref="AB6:AC6"/>
    <mergeCell ref="AD6:AH6"/>
    <mergeCell ref="AI6:AM6"/>
    <mergeCell ref="AN6:AP6"/>
    <mergeCell ref="B7:E7"/>
    <mergeCell ref="F7:H7"/>
    <mergeCell ref="I7:K7"/>
    <mergeCell ref="L7:M7"/>
    <mergeCell ref="N7:P7"/>
    <mergeCell ref="Q7:S7"/>
    <mergeCell ref="T7:U7"/>
    <mergeCell ref="V7:X7"/>
    <mergeCell ref="Y7:AA7"/>
    <mergeCell ref="AB7:AC7"/>
    <mergeCell ref="AD7:AH7"/>
    <mergeCell ref="AI7:AM7"/>
    <mergeCell ref="AN7:AP7"/>
    <mergeCell ref="B8:E8"/>
    <mergeCell ref="F8:H8"/>
    <mergeCell ref="I8:K8"/>
    <mergeCell ref="L8:M8"/>
    <mergeCell ref="N8:P8"/>
    <mergeCell ref="Q8:S8"/>
    <mergeCell ref="T8:U8"/>
    <mergeCell ref="V8:X8"/>
    <mergeCell ref="Y8:AA8"/>
    <mergeCell ref="AB8:AC8"/>
    <mergeCell ref="AD8:AH8"/>
    <mergeCell ref="AI8:AM8"/>
    <mergeCell ref="AN8:AP8"/>
    <mergeCell ref="B9:E9"/>
    <mergeCell ref="F9:H9"/>
    <mergeCell ref="I9:K9"/>
    <mergeCell ref="L9:M9"/>
    <mergeCell ref="N9:P9"/>
    <mergeCell ref="Q9:S9"/>
    <mergeCell ref="T9:U9"/>
    <mergeCell ref="V9:X9"/>
    <mergeCell ref="Y9:AA9"/>
    <mergeCell ref="AB9:AC9"/>
    <mergeCell ref="AD9:AH9"/>
    <mergeCell ref="AI9:AM9"/>
    <mergeCell ref="AN9:AP9"/>
    <mergeCell ref="B10:E10"/>
    <mergeCell ref="F10:H10"/>
    <mergeCell ref="I10:K10"/>
    <mergeCell ref="L10:M10"/>
    <mergeCell ref="N10:P10"/>
    <mergeCell ref="Q10:S10"/>
    <mergeCell ref="T10:U10"/>
    <mergeCell ref="V10:X10"/>
    <mergeCell ref="Y10:AA10"/>
    <mergeCell ref="AB10:AC10"/>
    <mergeCell ref="AD10:AH10"/>
    <mergeCell ref="AI10:AM10"/>
    <mergeCell ref="AN10:AP10"/>
    <mergeCell ref="B11:E11"/>
    <mergeCell ref="F11:H11"/>
    <mergeCell ref="I11:K11"/>
    <mergeCell ref="L11:M11"/>
    <mergeCell ref="N11:P11"/>
    <mergeCell ref="Q11:S11"/>
    <mergeCell ref="T11:U11"/>
    <mergeCell ref="V11:X11"/>
    <mergeCell ref="Y11:AA11"/>
    <mergeCell ref="AB11:AC11"/>
    <mergeCell ref="AD11:AH11"/>
    <mergeCell ref="AI11:AM11"/>
    <mergeCell ref="AN11:AP11"/>
    <mergeCell ref="B12:E12"/>
    <mergeCell ref="F12:H12"/>
    <mergeCell ref="I12:K12"/>
    <mergeCell ref="L12:M12"/>
    <mergeCell ref="N12:P12"/>
    <mergeCell ref="Q12:S12"/>
    <mergeCell ref="T12:U12"/>
    <mergeCell ref="V12:X12"/>
    <mergeCell ref="Y12:AA12"/>
    <mergeCell ref="AB12:AC12"/>
    <mergeCell ref="AD12:AH12"/>
    <mergeCell ref="AI12:AM12"/>
    <mergeCell ref="AN12:AP12"/>
    <mergeCell ref="B13:E13"/>
    <mergeCell ref="F13:H13"/>
    <mergeCell ref="I13:K13"/>
    <mergeCell ref="L13:M13"/>
    <mergeCell ref="N13:P13"/>
    <mergeCell ref="Q13:S13"/>
    <mergeCell ref="T13:U13"/>
    <mergeCell ref="V13:X13"/>
    <mergeCell ref="Y13:AA13"/>
    <mergeCell ref="AB13:AC13"/>
    <mergeCell ref="AD13:AH13"/>
    <mergeCell ref="AI13:AM13"/>
    <mergeCell ref="AN13:AP13"/>
    <mergeCell ref="B14:E14"/>
    <mergeCell ref="F14:H14"/>
    <mergeCell ref="I14:K14"/>
    <mergeCell ref="L14:M14"/>
    <mergeCell ref="N14:P14"/>
    <mergeCell ref="Q14:S14"/>
    <mergeCell ref="T14:U14"/>
    <mergeCell ref="V14:X14"/>
    <mergeCell ref="Y14:AA14"/>
    <mergeCell ref="AB14:AC14"/>
    <mergeCell ref="AD14:AH14"/>
    <mergeCell ref="AI14:AM14"/>
    <mergeCell ref="AN14:AP14"/>
    <mergeCell ref="B15:E15"/>
    <mergeCell ref="F15:H15"/>
    <mergeCell ref="I15:K15"/>
    <mergeCell ref="L15:M15"/>
    <mergeCell ref="N15:P15"/>
    <mergeCell ref="Q15:S15"/>
    <mergeCell ref="T15:U15"/>
    <mergeCell ref="V15:X15"/>
    <mergeCell ref="Y15:AA15"/>
    <mergeCell ref="AB15:AC15"/>
    <mergeCell ref="AD15:AH15"/>
    <mergeCell ref="AI15:AM15"/>
    <mergeCell ref="AN15:AP15"/>
    <mergeCell ref="B16:E16"/>
    <mergeCell ref="F16:H16"/>
    <mergeCell ref="I16:K16"/>
    <mergeCell ref="L16:M16"/>
    <mergeCell ref="N16:P16"/>
    <mergeCell ref="Q16:S16"/>
    <mergeCell ref="T16:U16"/>
    <mergeCell ref="V16:X16"/>
    <mergeCell ref="Y16:AA16"/>
    <mergeCell ref="AB16:AC16"/>
    <mergeCell ref="AD16:AH16"/>
    <mergeCell ref="AI16:AM16"/>
    <mergeCell ref="AN16:AP16"/>
    <mergeCell ref="B17:E17"/>
    <mergeCell ref="F17:H17"/>
    <mergeCell ref="I17:K17"/>
    <mergeCell ref="L17:M17"/>
    <mergeCell ref="N17:P17"/>
    <mergeCell ref="Q17:S17"/>
    <mergeCell ref="T17:U17"/>
    <mergeCell ref="V17:X17"/>
    <mergeCell ref="Y17:AA17"/>
    <mergeCell ref="AB17:AC17"/>
    <mergeCell ref="AD17:AH17"/>
    <mergeCell ref="AI17:AM17"/>
    <mergeCell ref="AN17:AP17"/>
    <mergeCell ref="B18:E18"/>
    <mergeCell ref="F18:H18"/>
    <mergeCell ref="I18:K18"/>
    <mergeCell ref="L18:M18"/>
    <mergeCell ref="N18:P18"/>
    <mergeCell ref="Q18:S18"/>
    <mergeCell ref="T18:U18"/>
    <mergeCell ref="V18:X18"/>
    <mergeCell ref="Y18:AA18"/>
    <mergeCell ref="AB18:AC18"/>
    <mergeCell ref="AD18:AH18"/>
    <mergeCell ref="AI18:AM18"/>
    <mergeCell ref="AN18:AP18"/>
    <mergeCell ref="B19:E19"/>
    <mergeCell ref="F19:H19"/>
    <mergeCell ref="I19:K19"/>
    <mergeCell ref="L19:M19"/>
    <mergeCell ref="N19:P19"/>
    <mergeCell ref="Q19:S19"/>
    <mergeCell ref="T19:U19"/>
    <mergeCell ref="V19:X19"/>
    <mergeCell ref="Y19:AA19"/>
    <mergeCell ref="AB19:AC19"/>
    <mergeCell ref="AD19:AH19"/>
    <mergeCell ref="AI19:AM19"/>
    <mergeCell ref="AN19:AP19"/>
    <mergeCell ref="B20:E20"/>
    <mergeCell ref="F20:H20"/>
    <mergeCell ref="I20:K20"/>
    <mergeCell ref="L20:M20"/>
    <mergeCell ref="N20:P20"/>
    <mergeCell ref="Q20:S20"/>
    <mergeCell ref="T20:U20"/>
    <mergeCell ref="V20:X20"/>
    <mergeCell ref="Y20:AA20"/>
    <mergeCell ref="AB20:AC20"/>
    <mergeCell ref="AD20:AH20"/>
    <mergeCell ref="AI20:AM20"/>
    <mergeCell ref="AN20:AP20"/>
    <mergeCell ref="B21:E21"/>
    <mergeCell ref="F21:H21"/>
    <mergeCell ref="I21:K21"/>
    <mergeCell ref="L21:M21"/>
    <mergeCell ref="N21:P21"/>
    <mergeCell ref="Q21:S21"/>
    <mergeCell ref="T21:U21"/>
    <mergeCell ref="V21:X21"/>
    <mergeCell ref="Y21:AA21"/>
    <mergeCell ref="AB21:AC21"/>
    <mergeCell ref="AD21:AH21"/>
    <mergeCell ref="AI21:AM21"/>
    <mergeCell ref="AN21:AP21"/>
    <mergeCell ref="B22:E22"/>
    <mergeCell ref="F22:H22"/>
    <mergeCell ref="I22:K22"/>
    <mergeCell ref="L22:M22"/>
    <mergeCell ref="N22:P22"/>
    <mergeCell ref="Q22:S22"/>
    <mergeCell ref="T22:U22"/>
    <mergeCell ref="V22:X22"/>
    <mergeCell ref="Y22:AA22"/>
    <mergeCell ref="AB22:AC22"/>
    <mergeCell ref="AD22:AH22"/>
    <mergeCell ref="AI22:AM22"/>
    <mergeCell ref="AN22:AP22"/>
    <mergeCell ref="B23:E23"/>
    <mergeCell ref="F23:H23"/>
    <mergeCell ref="I23:K23"/>
    <mergeCell ref="L23:M23"/>
    <mergeCell ref="N23:P23"/>
    <mergeCell ref="Q23:S23"/>
    <mergeCell ref="T23:U23"/>
    <mergeCell ref="V23:X23"/>
    <mergeCell ref="Y23:AA23"/>
    <mergeCell ref="AB23:AC23"/>
    <mergeCell ref="AD23:AH23"/>
    <mergeCell ref="AI23:AM23"/>
    <mergeCell ref="AN23:AP23"/>
    <mergeCell ref="B24:E24"/>
    <mergeCell ref="F24:H24"/>
    <mergeCell ref="I24:K24"/>
    <mergeCell ref="L24:M24"/>
    <mergeCell ref="N24:P24"/>
    <mergeCell ref="Q24:S24"/>
    <mergeCell ref="T24:U24"/>
    <mergeCell ref="V24:X24"/>
    <mergeCell ref="Y24:AA24"/>
    <mergeCell ref="AB24:AC24"/>
    <mergeCell ref="AD24:AH24"/>
    <mergeCell ref="AI24:AM24"/>
    <mergeCell ref="AN24:AP24"/>
    <mergeCell ref="B25:E25"/>
    <mergeCell ref="F25:H25"/>
    <mergeCell ref="I25:K25"/>
    <mergeCell ref="L25:M25"/>
    <mergeCell ref="N25:P25"/>
    <mergeCell ref="Q25:S25"/>
    <mergeCell ref="T25:U25"/>
    <mergeCell ref="V25:X25"/>
    <mergeCell ref="Y25:AA25"/>
    <mergeCell ref="AB25:AC25"/>
    <mergeCell ref="AD25:AH25"/>
    <mergeCell ref="AI25:AM25"/>
    <mergeCell ref="AN25:AP25"/>
    <mergeCell ref="B26:E26"/>
    <mergeCell ref="F26:H26"/>
    <mergeCell ref="I26:K26"/>
    <mergeCell ref="L26:M26"/>
    <mergeCell ref="N26:P26"/>
    <mergeCell ref="Q26:S26"/>
    <mergeCell ref="T26:U26"/>
    <mergeCell ref="V26:X26"/>
    <mergeCell ref="Y26:AA26"/>
    <mergeCell ref="AB26:AC26"/>
    <mergeCell ref="AD26:AH26"/>
    <mergeCell ref="AI26:AM26"/>
    <mergeCell ref="AN26:AP26"/>
    <mergeCell ref="B27:E27"/>
    <mergeCell ref="F27:H27"/>
    <mergeCell ref="I27:K27"/>
    <mergeCell ref="L27:M27"/>
    <mergeCell ref="N27:P27"/>
    <mergeCell ref="Q27:S27"/>
    <mergeCell ref="T27:U27"/>
    <mergeCell ref="V27:X27"/>
    <mergeCell ref="Y27:AA27"/>
    <mergeCell ref="AB27:AC27"/>
    <mergeCell ref="AD27:AH27"/>
    <mergeCell ref="AI27:AM27"/>
    <mergeCell ref="AN27:AP27"/>
    <mergeCell ref="B28:E28"/>
    <mergeCell ref="F28:H28"/>
    <mergeCell ref="I28:K28"/>
    <mergeCell ref="L28:M28"/>
    <mergeCell ref="N28:P28"/>
    <mergeCell ref="Q28:S28"/>
    <mergeCell ref="T28:U28"/>
    <mergeCell ref="V28:X28"/>
    <mergeCell ref="Y28:AA28"/>
    <mergeCell ref="AB28:AC28"/>
    <mergeCell ref="AD28:AH28"/>
    <mergeCell ref="AI28:AM28"/>
    <mergeCell ref="AN28:AP28"/>
    <mergeCell ref="B29:E29"/>
    <mergeCell ref="F29:H29"/>
    <mergeCell ref="I29:K29"/>
    <mergeCell ref="L29:M29"/>
    <mergeCell ref="N29:P29"/>
    <mergeCell ref="Q29:S29"/>
    <mergeCell ref="T29:U29"/>
    <mergeCell ref="V29:X29"/>
    <mergeCell ref="Y29:AA29"/>
    <mergeCell ref="AB29:AC29"/>
    <mergeCell ref="AD29:AH29"/>
    <mergeCell ref="AI29:AM29"/>
    <mergeCell ref="AN29:AP29"/>
    <mergeCell ref="B30:E30"/>
    <mergeCell ref="F30:H30"/>
    <mergeCell ref="I30:K30"/>
    <mergeCell ref="L30:M30"/>
    <mergeCell ref="N30:P30"/>
    <mergeCell ref="Q30:S30"/>
    <mergeCell ref="T30:U30"/>
    <mergeCell ref="V30:X30"/>
    <mergeCell ref="Y30:AA30"/>
    <mergeCell ref="AB30:AC30"/>
    <mergeCell ref="AD30:AH30"/>
    <mergeCell ref="AI30:AM30"/>
    <mergeCell ref="AN30:AP30"/>
    <mergeCell ref="B31:E31"/>
    <mergeCell ref="F31:H31"/>
    <mergeCell ref="I31:K31"/>
    <mergeCell ref="L31:M31"/>
    <mergeCell ref="N31:P31"/>
    <mergeCell ref="Q31:S31"/>
    <mergeCell ref="T31:U31"/>
    <mergeCell ref="V31:X31"/>
    <mergeCell ref="Y31:AA31"/>
    <mergeCell ref="AB31:AC31"/>
    <mergeCell ref="AD31:AH31"/>
    <mergeCell ref="AI31:AM31"/>
    <mergeCell ref="AN31:AP31"/>
    <mergeCell ref="B32:E32"/>
    <mergeCell ref="F32:H32"/>
    <mergeCell ref="I32:K32"/>
    <mergeCell ref="L32:M32"/>
    <mergeCell ref="N32:P32"/>
    <mergeCell ref="Q32:S32"/>
    <mergeCell ref="T32:U32"/>
    <mergeCell ref="V32:X32"/>
    <mergeCell ref="Y32:AA32"/>
    <mergeCell ref="AB32:AC32"/>
    <mergeCell ref="AD32:AH32"/>
    <mergeCell ref="AI32:AM32"/>
    <mergeCell ref="AN32:AP32"/>
    <mergeCell ref="B33:E33"/>
    <mergeCell ref="F33:H33"/>
    <mergeCell ref="I33:K33"/>
    <mergeCell ref="L33:M33"/>
    <mergeCell ref="N33:P33"/>
    <mergeCell ref="Q33:S33"/>
    <mergeCell ref="T33:U33"/>
    <mergeCell ref="V33:X33"/>
    <mergeCell ref="Y33:AA33"/>
    <mergeCell ref="AB33:AC33"/>
    <mergeCell ref="AD33:AH33"/>
    <mergeCell ref="AI33:AM33"/>
    <mergeCell ref="AN33:AP33"/>
    <mergeCell ref="B34:E34"/>
    <mergeCell ref="F34:H34"/>
    <mergeCell ref="I34:K34"/>
    <mergeCell ref="L34:M34"/>
    <mergeCell ref="N34:P34"/>
    <mergeCell ref="Q34:S34"/>
    <mergeCell ref="T34:U34"/>
    <mergeCell ref="V34:X34"/>
    <mergeCell ref="Y34:AA34"/>
    <mergeCell ref="AB34:AC34"/>
    <mergeCell ref="AD34:AH34"/>
    <mergeCell ref="AI34:AM34"/>
    <mergeCell ref="AN34:AP34"/>
    <mergeCell ref="B35:E35"/>
    <mergeCell ref="F35:H35"/>
    <mergeCell ref="I35:K35"/>
    <mergeCell ref="L35:M35"/>
    <mergeCell ref="N35:P35"/>
    <mergeCell ref="Q35:S35"/>
    <mergeCell ref="T35:U35"/>
    <mergeCell ref="V35:X35"/>
    <mergeCell ref="Y35:AA35"/>
    <mergeCell ref="AB35:AC35"/>
    <mergeCell ref="AD35:AH35"/>
    <mergeCell ref="AI35:AM35"/>
    <mergeCell ref="AN35:AP35"/>
    <mergeCell ref="B36:E36"/>
    <mergeCell ref="F36:H36"/>
    <mergeCell ref="I36:K36"/>
    <mergeCell ref="L36:M36"/>
    <mergeCell ref="N36:P36"/>
    <mergeCell ref="Q36:S36"/>
    <mergeCell ref="T36:U36"/>
    <mergeCell ref="V36:X36"/>
    <mergeCell ref="Y36:AA36"/>
    <mergeCell ref="AB36:AC36"/>
    <mergeCell ref="AD36:AH36"/>
    <mergeCell ref="AI36:AM36"/>
    <mergeCell ref="AN36:AP36"/>
    <mergeCell ref="B37:E37"/>
    <mergeCell ref="F37:H37"/>
    <mergeCell ref="I37:K37"/>
    <mergeCell ref="L37:M37"/>
    <mergeCell ref="N37:P37"/>
    <mergeCell ref="Q37:S37"/>
    <mergeCell ref="T37:U37"/>
    <mergeCell ref="V37:X37"/>
    <mergeCell ref="Y37:AA37"/>
    <mergeCell ref="AB37:AC37"/>
    <mergeCell ref="AD37:AH37"/>
    <mergeCell ref="AI37:AM37"/>
    <mergeCell ref="AN37:AP37"/>
    <mergeCell ref="B38:E38"/>
    <mergeCell ref="F38:H38"/>
    <mergeCell ref="I38:K38"/>
    <mergeCell ref="L38:M38"/>
    <mergeCell ref="N38:P38"/>
    <mergeCell ref="Q38:S38"/>
    <mergeCell ref="T38:U38"/>
    <mergeCell ref="V38:X38"/>
    <mergeCell ref="Y38:AA38"/>
    <mergeCell ref="AB38:AC38"/>
    <mergeCell ref="AD38:AH38"/>
    <mergeCell ref="AI38:AM38"/>
    <mergeCell ref="AN38:AP38"/>
    <mergeCell ref="B41:E42"/>
    <mergeCell ref="F41:M41"/>
    <mergeCell ref="N41:U41"/>
    <mergeCell ref="V41:AE41"/>
    <mergeCell ref="AF41:AP41"/>
    <mergeCell ref="F42:H42"/>
    <mergeCell ref="I42:K42"/>
    <mergeCell ref="L42:M42"/>
    <mergeCell ref="N42:P42"/>
    <mergeCell ref="Q42:S42"/>
    <mergeCell ref="T42:U42"/>
    <mergeCell ref="V42:Y42"/>
    <mergeCell ref="Z42:AC42"/>
    <mergeCell ref="AD42:AE42"/>
    <mergeCell ref="AF42:AI42"/>
    <mergeCell ref="AJ42:AM42"/>
    <mergeCell ref="AN42:AP42"/>
    <mergeCell ref="B43:E43"/>
    <mergeCell ref="F43:H43"/>
    <mergeCell ref="I43:K43"/>
    <mergeCell ref="L43:M43"/>
    <mergeCell ref="N43:P43"/>
    <mergeCell ref="Q43:S43"/>
    <mergeCell ref="T43:U43"/>
    <mergeCell ref="V43:Y43"/>
    <mergeCell ref="Z43:AC43"/>
    <mergeCell ref="AD43:AE43"/>
    <mergeCell ref="AF43:AI43"/>
    <mergeCell ref="AJ43:AM43"/>
    <mergeCell ref="AN43:AP43"/>
    <mergeCell ref="B44:E44"/>
    <mergeCell ref="F44:H44"/>
    <mergeCell ref="I44:K44"/>
    <mergeCell ref="L44:M44"/>
    <mergeCell ref="N44:P44"/>
    <mergeCell ref="Q44:S44"/>
    <mergeCell ref="T44:U44"/>
    <mergeCell ref="V44:Y44"/>
    <mergeCell ref="Z44:AC44"/>
    <mergeCell ref="AD44:AE44"/>
    <mergeCell ref="AF44:AI44"/>
    <mergeCell ref="AJ44:AM44"/>
    <mergeCell ref="AN44:AP44"/>
    <mergeCell ref="B45:E45"/>
    <mergeCell ref="F45:H45"/>
    <mergeCell ref="I45:K45"/>
    <mergeCell ref="L45:M45"/>
    <mergeCell ref="N45:P45"/>
    <mergeCell ref="Q45:S45"/>
    <mergeCell ref="T45:U45"/>
    <mergeCell ref="V45:Y45"/>
    <mergeCell ref="Z45:AC45"/>
    <mergeCell ref="AD45:AE45"/>
    <mergeCell ref="AF45:AI45"/>
    <mergeCell ref="AJ45:AM45"/>
    <mergeCell ref="AN45:AP45"/>
    <mergeCell ref="B46:E46"/>
    <mergeCell ref="F46:H46"/>
    <mergeCell ref="I46:K46"/>
    <mergeCell ref="L46:M46"/>
    <mergeCell ref="N46:P46"/>
    <mergeCell ref="Q46:S46"/>
    <mergeCell ref="T46:U46"/>
    <mergeCell ref="V46:Y46"/>
    <mergeCell ref="Z46:AC46"/>
    <mergeCell ref="AD46:AE46"/>
    <mergeCell ref="AF46:AI46"/>
    <mergeCell ref="AJ46:AM46"/>
    <mergeCell ref="AN46:AP46"/>
    <mergeCell ref="B47:E47"/>
    <mergeCell ref="F47:H47"/>
    <mergeCell ref="I47:K47"/>
    <mergeCell ref="L47:M47"/>
    <mergeCell ref="N47:P47"/>
    <mergeCell ref="Q47:S47"/>
    <mergeCell ref="T47:U47"/>
    <mergeCell ref="V47:Y47"/>
    <mergeCell ref="Z47:AC47"/>
    <mergeCell ref="AD47:AE47"/>
    <mergeCell ref="AF47:AI47"/>
    <mergeCell ref="AJ47:AM47"/>
    <mergeCell ref="AN47:AP47"/>
    <mergeCell ref="B48:E48"/>
    <mergeCell ref="F48:H48"/>
    <mergeCell ref="I48:K48"/>
    <mergeCell ref="L48:M48"/>
    <mergeCell ref="N48:P48"/>
    <mergeCell ref="Q48:S48"/>
    <mergeCell ref="T48:U48"/>
    <mergeCell ref="V48:Y48"/>
    <mergeCell ref="Z48:AC48"/>
    <mergeCell ref="AD48:AE48"/>
    <mergeCell ref="AF48:AI48"/>
    <mergeCell ref="AJ48:AM48"/>
    <mergeCell ref="AN48:AP48"/>
    <mergeCell ref="B49:E49"/>
    <mergeCell ref="F49:H49"/>
    <mergeCell ref="I49:K49"/>
    <mergeCell ref="L49:M49"/>
    <mergeCell ref="N49:P49"/>
    <mergeCell ref="Q49:S49"/>
    <mergeCell ref="T49:U49"/>
    <mergeCell ref="V49:Y49"/>
    <mergeCell ref="Z49:AC49"/>
    <mergeCell ref="AD49:AE49"/>
    <mergeCell ref="AF49:AI49"/>
    <mergeCell ref="AJ49:AM49"/>
    <mergeCell ref="AN49:AP49"/>
    <mergeCell ref="B50:E50"/>
    <mergeCell ref="F50:H50"/>
    <mergeCell ref="I50:K50"/>
    <mergeCell ref="L50:M50"/>
    <mergeCell ref="N50:P50"/>
    <mergeCell ref="Q50:S50"/>
    <mergeCell ref="T50:U50"/>
    <mergeCell ref="V50:Y50"/>
    <mergeCell ref="Z50:AC50"/>
    <mergeCell ref="AD50:AE50"/>
    <mergeCell ref="AF50:AI50"/>
    <mergeCell ref="AJ50:AM50"/>
    <mergeCell ref="AN50:AP50"/>
    <mergeCell ref="B51:E51"/>
    <mergeCell ref="F51:H51"/>
    <mergeCell ref="I51:K51"/>
    <mergeCell ref="L51:M51"/>
    <mergeCell ref="N51:P51"/>
    <mergeCell ref="Q51:S51"/>
    <mergeCell ref="T51:U51"/>
    <mergeCell ref="V51:Y51"/>
    <mergeCell ref="Z51:AC51"/>
    <mergeCell ref="AD51:AE51"/>
    <mergeCell ref="AF51:AI51"/>
    <mergeCell ref="AJ51:AM51"/>
    <mergeCell ref="AN51:AP51"/>
    <mergeCell ref="B52:E52"/>
    <mergeCell ref="F52:H52"/>
    <mergeCell ref="I52:K52"/>
    <mergeCell ref="L52:M52"/>
    <mergeCell ref="N52:P52"/>
    <mergeCell ref="Q52:S52"/>
    <mergeCell ref="T52:U52"/>
    <mergeCell ref="V52:Y52"/>
    <mergeCell ref="Z52:AC52"/>
    <mergeCell ref="AD52:AE52"/>
    <mergeCell ref="AF52:AI52"/>
    <mergeCell ref="AJ52:AM52"/>
    <mergeCell ref="AN52:AP52"/>
    <mergeCell ref="B53:E53"/>
    <mergeCell ref="F53:H53"/>
    <mergeCell ref="I53:K53"/>
    <mergeCell ref="L53:M53"/>
    <mergeCell ref="N53:P53"/>
    <mergeCell ref="Q53:S53"/>
    <mergeCell ref="T53:U53"/>
    <mergeCell ref="V53:Y53"/>
    <mergeCell ref="Z53:AC53"/>
    <mergeCell ref="AD53:AE53"/>
    <mergeCell ref="AF53:AI53"/>
    <mergeCell ref="AJ53:AM53"/>
    <mergeCell ref="AN53:AP53"/>
    <mergeCell ref="B54:E54"/>
    <mergeCell ref="F54:H54"/>
    <mergeCell ref="I54:K54"/>
    <mergeCell ref="L54:M54"/>
    <mergeCell ref="N54:P54"/>
    <mergeCell ref="Q54:S54"/>
    <mergeCell ref="T54:U54"/>
    <mergeCell ref="V54:Y54"/>
    <mergeCell ref="Z54:AC54"/>
    <mergeCell ref="AD54:AE54"/>
    <mergeCell ref="AF54:AI54"/>
    <mergeCell ref="AJ54:AM54"/>
    <mergeCell ref="AN54:AP54"/>
    <mergeCell ref="B55:E55"/>
    <mergeCell ref="F55:H55"/>
    <mergeCell ref="I55:K55"/>
    <mergeCell ref="L55:M55"/>
    <mergeCell ref="N55:P55"/>
    <mergeCell ref="Q55:S55"/>
    <mergeCell ref="T55:U55"/>
    <mergeCell ref="V55:Y55"/>
    <mergeCell ref="Z55:AC55"/>
    <mergeCell ref="AD55:AE55"/>
    <mergeCell ref="AF55:AI55"/>
    <mergeCell ref="AJ55:AM55"/>
    <mergeCell ref="AN55:AP55"/>
    <mergeCell ref="B56:E56"/>
    <mergeCell ref="F56:H56"/>
    <mergeCell ref="I56:K56"/>
    <mergeCell ref="L56:M56"/>
    <mergeCell ref="N56:P56"/>
    <mergeCell ref="Q56:S56"/>
    <mergeCell ref="T56:U56"/>
    <mergeCell ref="V56:Y56"/>
    <mergeCell ref="Z56:AC56"/>
    <mergeCell ref="AD56:AE56"/>
    <mergeCell ref="AF56:AI56"/>
    <mergeCell ref="AJ56:AM56"/>
    <mergeCell ref="AN56:AP56"/>
    <mergeCell ref="B57:E57"/>
    <mergeCell ref="F57:H57"/>
    <mergeCell ref="I57:K57"/>
    <mergeCell ref="L57:M57"/>
    <mergeCell ref="N57:P57"/>
    <mergeCell ref="Q57:S57"/>
    <mergeCell ref="T57:U57"/>
    <mergeCell ref="V57:Y57"/>
    <mergeCell ref="Z57:AC57"/>
    <mergeCell ref="AD57:AE57"/>
    <mergeCell ref="AF57:AI57"/>
    <mergeCell ref="AJ57:AM57"/>
    <mergeCell ref="AN57:AP57"/>
    <mergeCell ref="B58:E58"/>
    <mergeCell ref="F58:H58"/>
    <mergeCell ref="I58:K58"/>
    <mergeCell ref="L58:M58"/>
    <mergeCell ref="N58:P58"/>
    <mergeCell ref="Q58:S58"/>
    <mergeCell ref="T58:U58"/>
    <mergeCell ref="V58:Y58"/>
    <mergeCell ref="Z58:AC58"/>
    <mergeCell ref="AD58:AE58"/>
    <mergeCell ref="AF58:AI58"/>
    <mergeCell ref="AJ58:AM58"/>
    <mergeCell ref="AN58:AP58"/>
    <mergeCell ref="B59:E59"/>
    <mergeCell ref="F59:H59"/>
    <mergeCell ref="I59:K59"/>
    <mergeCell ref="L59:M59"/>
    <mergeCell ref="N59:P59"/>
    <mergeCell ref="Q59:S59"/>
    <mergeCell ref="T59:U59"/>
    <mergeCell ref="V59:Y59"/>
    <mergeCell ref="Z59:AC59"/>
    <mergeCell ref="AD59:AE59"/>
    <mergeCell ref="AF59:AI59"/>
    <mergeCell ref="AJ59:AM59"/>
    <mergeCell ref="AN59:AP59"/>
    <mergeCell ref="B60:E60"/>
    <mergeCell ref="F60:H60"/>
    <mergeCell ref="I60:K60"/>
    <mergeCell ref="L60:M60"/>
    <mergeCell ref="N60:P60"/>
    <mergeCell ref="Q60:S60"/>
    <mergeCell ref="T60:U60"/>
    <mergeCell ref="V60:Y60"/>
    <mergeCell ref="Z60:AC60"/>
    <mergeCell ref="AD60:AE60"/>
    <mergeCell ref="AF60:AI60"/>
    <mergeCell ref="AJ60:AM60"/>
    <mergeCell ref="AN60:AP60"/>
    <mergeCell ref="B61:E61"/>
    <mergeCell ref="F61:H61"/>
    <mergeCell ref="I61:K61"/>
    <mergeCell ref="L61:M61"/>
    <mergeCell ref="N61:P61"/>
    <mergeCell ref="Q61:S61"/>
    <mergeCell ref="T61:U61"/>
    <mergeCell ref="V61:Y61"/>
    <mergeCell ref="Z61:AC61"/>
    <mergeCell ref="AD61:AE61"/>
    <mergeCell ref="AF61:AI61"/>
    <mergeCell ref="AJ61:AM61"/>
    <mergeCell ref="AN61:AP61"/>
    <mergeCell ref="B62:E62"/>
    <mergeCell ref="F62:H62"/>
    <mergeCell ref="I62:K62"/>
    <mergeCell ref="L62:M62"/>
    <mergeCell ref="N62:P62"/>
    <mergeCell ref="Q62:S62"/>
    <mergeCell ref="T62:U62"/>
    <mergeCell ref="V62:Y62"/>
    <mergeCell ref="Z62:AC62"/>
    <mergeCell ref="AD62:AE62"/>
    <mergeCell ref="AF62:AI62"/>
    <mergeCell ref="AJ62:AM62"/>
    <mergeCell ref="AN62:AP62"/>
    <mergeCell ref="B63:E63"/>
    <mergeCell ref="F63:H63"/>
    <mergeCell ref="I63:K63"/>
    <mergeCell ref="L63:M63"/>
    <mergeCell ref="N63:P63"/>
    <mergeCell ref="Q63:S63"/>
    <mergeCell ref="T63:U63"/>
    <mergeCell ref="V63:Y63"/>
    <mergeCell ref="Z63:AC63"/>
    <mergeCell ref="AD63:AE63"/>
    <mergeCell ref="AF63:AI63"/>
    <mergeCell ref="AJ63:AM63"/>
    <mergeCell ref="AN63:AP63"/>
    <mergeCell ref="B64:E64"/>
    <mergeCell ref="F64:H64"/>
    <mergeCell ref="I64:K64"/>
    <mergeCell ref="L64:M64"/>
    <mergeCell ref="N64:P64"/>
    <mergeCell ref="Q64:S64"/>
    <mergeCell ref="T64:U64"/>
    <mergeCell ref="V64:Y64"/>
    <mergeCell ref="Z64:AC64"/>
    <mergeCell ref="AD64:AE64"/>
    <mergeCell ref="AF64:AI64"/>
    <mergeCell ref="AJ64:AM64"/>
    <mergeCell ref="AN64:AP64"/>
    <mergeCell ref="B65:E65"/>
    <mergeCell ref="F65:H65"/>
    <mergeCell ref="I65:K65"/>
    <mergeCell ref="L65:M65"/>
    <mergeCell ref="N65:P65"/>
    <mergeCell ref="Q65:S65"/>
    <mergeCell ref="T65:U65"/>
    <mergeCell ref="V65:Y65"/>
    <mergeCell ref="Z65:AC65"/>
    <mergeCell ref="AD65:AE65"/>
    <mergeCell ref="AF65:AI65"/>
    <mergeCell ref="AJ65:AM65"/>
    <mergeCell ref="AN65:AP65"/>
    <mergeCell ref="B66:E66"/>
    <mergeCell ref="F66:H66"/>
    <mergeCell ref="I66:K66"/>
    <mergeCell ref="L66:M66"/>
    <mergeCell ref="N66:P66"/>
    <mergeCell ref="Q66:S66"/>
    <mergeCell ref="T66:U66"/>
    <mergeCell ref="V66:Y66"/>
    <mergeCell ref="Z66:AC66"/>
    <mergeCell ref="AD66:AE66"/>
    <mergeCell ref="AF66:AI66"/>
    <mergeCell ref="AJ66:AM66"/>
    <mergeCell ref="AN66:AP66"/>
    <mergeCell ref="B67:E67"/>
    <mergeCell ref="F67:H67"/>
    <mergeCell ref="I67:K67"/>
    <mergeCell ref="L67:M67"/>
    <mergeCell ref="N67:P67"/>
    <mergeCell ref="Q67:S67"/>
    <mergeCell ref="T67:U67"/>
    <mergeCell ref="V67:Y67"/>
    <mergeCell ref="Z67:AC67"/>
    <mergeCell ref="AD67:AE67"/>
    <mergeCell ref="AF67:AI67"/>
    <mergeCell ref="AJ67:AM67"/>
    <mergeCell ref="AN67:AP67"/>
    <mergeCell ref="B68:E68"/>
    <mergeCell ref="F68:H68"/>
    <mergeCell ref="I68:K68"/>
    <mergeCell ref="L68:M68"/>
    <mergeCell ref="N68:P68"/>
    <mergeCell ref="Q68:S68"/>
    <mergeCell ref="T68:U68"/>
    <mergeCell ref="V68:Y68"/>
    <mergeCell ref="Z68:AC68"/>
    <mergeCell ref="AD68:AE68"/>
    <mergeCell ref="AF68:AI68"/>
    <mergeCell ref="AJ68:AM68"/>
    <mergeCell ref="AN68:AP68"/>
    <mergeCell ref="B69:E69"/>
    <mergeCell ref="F69:H69"/>
    <mergeCell ref="I69:K69"/>
    <mergeCell ref="L69:M69"/>
    <mergeCell ref="N69:P69"/>
    <mergeCell ref="Q69:S69"/>
    <mergeCell ref="T69:U69"/>
    <mergeCell ref="V69:Y69"/>
    <mergeCell ref="Z69:AC69"/>
    <mergeCell ref="AD69:AE69"/>
    <mergeCell ref="AF69:AI69"/>
    <mergeCell ref="AJ69:AM69"/>
    <mergeCell ref="AN69:AP69"/>
    <mergeCell ref="B70:E70"/>
    <mergeCell ref="F70:H70"/>
    <mergeCell ref="I70:K70"/>
    <mergeCell ref="L70:M70"/>
    <mergeCell ref="N70:P70"/>
    <mergeCell ref="Q70:S70"/>
    <mergeCell ref="T70:U70"/>
    <mergeCell ref="V70:Y70"/>
    <mergeCell ref="Z70:AC70"/>
    <mergeCell ref="AD70:AE70"/>
    <mergeCell ref="AF70:AI70"/>
    <mergeCell ref="AJ70:AM70"/>
    <mergeCell ref="AN70:AP70"/>
    <mergeCell ref="B71:E71"/>
    <mergeCell ref="F71:H71"/>
    <mergeCell ref="I71:K71"/>
    <mergeCell ref="L71:M71"/>
    <mergeCell ref="N71:P71"/>
    <mergeCell ref="Q71:S71"/>
    <mergeCell ref="T71:U71"/>
    <mergeCell ref="V71:Y71"/>
    <mergeCell ref="Z71:AC71"/>
    <mergeCell ref="AD71:AE71"/>
    <mergeCell ref="AF71:AI71"/>
    <mergeCell ref="AJ71:AM71"/>
    <mergeCell ref="AN71:AP71"/>
    <mergeCell ref="B72:E72"/>
    <mergeCell ref="F72:H72"/>
    <mergeCell ref="I72:K72"/>
    <mergeCell ref="L72:M72"/>
    <mergeCell ref="N72:P72"/>
    <mergeCell ref="Q72:S72"/>
    <mergeCell ref="T72:U72"/>
    <mergeCell ref="V72:Y72"/>
    <mergeCell ref="Z72:AC72"/>
    <mergeCell ref="AD72:AE72"/>
    <mergeCell ref="AF72:AI72"/>
    <mergeCell ref="AJ72:AM72"/>
    <mergeCell ref="AN72:AP72"/>
    <mergeCell ref="B73:E73"/>
    <mergeCell ref="F73:H73"/>
    <mergeCell ref="I73:K73"/>
    <mergeCell ref="L73:M73"/>
    <mergeCell ref="N73:P73"/>
    <mergeCell ref="Q73:S73"/>
    <mergeCell ref="T73:U73"/>
    <mergeCell ref="V73:Y73"/>
    <mergeCell ref="Z73:AC73"/>
    <mergeCell ref="AD73:AE73"/>
    <mergeCell ref="AF73:AI73"/>
    <mergeCell ref="AJ73:AM73"/>
    <mergeCell ref="AN73:AP73"/>
    <mergeCell ref="B74:E74"/>
    <mergeCell ref="F74:H74"/>
    <mergeCell ref="I74:K74"/>
    <mergeCell ref="L74:M74"/>
    <mergeCell ref="N74:P74"/>
    <mergeCell ref="Q74:S74"/>
    <mergeCell ref="T74:U74"/>
    <mergeCell ref="V74:Y74"/>
    <mergeCell ref="Z74:AC74"/>
    <mergeCell ref="AD74:AE74"/>
    <mergeCell ref="AF74:AI74"/>
    <mergeCell ref="AJ74:AM74"/>
    <mergeCell ref="AN74:AP74"/>
    <mergeCell ref="B75:E75"/>
    <mergeCell ref="F75:H75"/>
    <mergeCell ref="I75:K75"/>
    <mergeCell ref="L75:M75"/>
    <mergeCell ref="N75:P75"/>
    <mergeCell ref="Q75:S75"/>
    <mergeCell ref="T75:U75"/>
    <mergeCell ref="V75:Y75"/>
    <mergeCell ref="Z75:AC75"/>
    <mergeCell ref="AD75:AE75"/>
    <mergeCell ref="AF75:AI75"/>
    <mergeCell ref="AJ75:AM75"/>
    <mergeCell ref="AN75:AP75"/>
    <mergeCell ref="B76:E76"/>
    <mergeCell ref="F76:H76"/>
    <mergeCell ref="I76:K76"/>
    <mergeCell ref="L76:M76"/>
    <mergeCell ref="N76:P76"/>
    <mergeCell ref="Q76:S76"/>
    <mergeCell ref="T76:U76"/>
    <mergeCell ref="V76:Y76"/>
    <mergeCell ref="Z76:AC76"/>
    <mergeCell ref="AD76:AE76"/>
    <mergeCell ref="AF76:AI76"/>
    <mergeCell ref="AJ76:AM76"/>
    <mergeCell ref="AN76:AP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BP33"/>
  <sheetViews>
    <sheetView showGridLines="0" zoomScaleSheetLayoutView="100" workbookViewId="0" topLeftCell="A10">
      <selection activeCell="A10" sqref="A1:IV16384"/>
    </sheetView>
  </sheetViews>
  <sheetFormatPr defaultColWidth="8.88671875" defaultRowHeight="34.5" customHeight="1"/>
  <cols>
    <col min="1" max="26" width="2.88671875" style="34" customWidth="1"/>
    <col min="27" max="68" width="1.77734375" style="34" customWidth="1"/>
    <col min="69" max="16384" width="2.88671875" style="34" customWidth="1"/>
  </cols>
  <sheetData>
    <row r="1" s="33" customFormat="1" ht="21.75" customHeight="1">
      <c r="A1" s="62" t="s">
        <v>258</v>
      </c>
    </row>
    <row r="2" spans="1:2" s="33" customFormat="1" ht="21.75" customHeight="1">
      <c r="A2" s="32"/>
      <c r="B2" s="137" t="s">
        <v>259</v>
      </c>
    </row>
    <row r="3" ht="21.75" customHeight="1"/>
    <row r="4" ht="21.75" customHeight="1"/>
    <row r="5" ht="21.75" customHeight="1"/>
    <row r="6" ht="21.75" customHeight="1"/>
    <row r="7" ht="21.75" customHeight="1"/>
    <row r="8" spans="1:32" ht="21.75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138"/>
      <c r="L8" s="138"/>
      <c r="M8" s="138"/>
      <c r="N8" s="138"/>
      <c r="O8" s="138"/>
      <c r="P8" s="36"/>
      <c r="Q8" s="36"/>
      <c r="R8" s="36"/>
      <c r="S8" s="36"/>
      <c r="T8" s="36"/>
      <c r="U8" s="36"/>
      <c r="V8" s="36"/>
      <c r="W8" s="36"/>
      <c r="X8" s="36"/>
      <c r="Y8" s="36"/>
      <c r="Z8" s="52"/>
      <c r="AA8" s="52"/>
      <c r="AB8" s="52"/>
      <c r="AC8" s="53"/>
      <c r="AD8" s="36"/>
      <c r="AE8" s="36"/>
      <c r="AF8" s="36"/>
    </row>
    <row r="9" spans="1:25" ht="21.75" customHeigh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7" ht="19.5" customHeight="1">
      <c r="A10" s="36"/>
      <c r="B10" s="36" t="s">
        <v>260</v>
      </c>
      <c r="C10" s="36"/>
      <c r="D10" s="36"/>
      <c r="E10" s="36"/>
      <c r="F10" s="36"/>
      <c r="G10" s="36" t="s">
        <v>7</v>
      </c>
      <c r="H10" s="106" t="s">
        <v>261</v>
      </c>
      <c r="I10" s="106"/>
      <c r="J10" s="106"/>
      <c r="K10" s="10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AA10" s="139"/>
    </row>
    <row r="11" spans="1:28" ht="19.5" customHeight="1">
      <c r="A11" s="36"/>
      <c r="B11" s="36" t="s">
        <v>262</v>
      </c>
      <c r="C11" s="36"/>
      <c r="D11" s="36"/>
      <c r="E11" s="36"/>
      <c r="F11" s="36"/>
      <c r="G11" s="36" t="s">
        <v>7</v>
      </c>
      <c r="H11" s="36" t="s">
        <v>0</v>
      </c>
      <c r="I11" s="36"/>
      <c r="J11" s="140">
        <v>2037.342</v>
      </c>
      <c r="K11" s="140"/>
      <c r="L11" s="140"/>
      <c r="M11" s="56" t="s">
        <v>263</v>
      </c>
      <c r="N11" s="77" t="s">
        <v>148</v>
      </c>
      <c r="O11" s="141"/>
      <c r="P11" s="142">
        <v>25</v>
      </c>
      <c r="Q11" s="142"/>
      <c r="R11" s="36" t="s">
        <v>6</v>
      </c>
      <c r="S11" s="36"/>
      <c r="T11" s="36"/>
      <c r="U11" s="36"/>
      <c r="V11" s="36"/>
      <c r="W11" s="36"/>
      <c r="X11" s="36"/>
      <c r="Z11" s="52"/>
      <c r="AA11" s="52"/>
      <c r="AB11" s="52"/>
    </row>
    <row r="12" spans="1:24" ht="19.5" customHeight="1">
      <c r="A12" s="36"/>
      <c r="B12" s="35" t="s">
        <v>264</v>
      </c>
      <c r="C12" s="36"/>
      <c r="D12" s="36"/>
      <c r="E12" s="36"/>
      <c r="F12" s="36"/>
      <c r="G12" s="36" t="s">
        <v>7</v>
      </c>
      <c r="H12" s="36" t="s">
        <v>12</v>
      </c>
      <c r="I12" s="143">
        <v>250</v>
      </c>
      <c r="J12" s="143"/>
      <c r="K12" s="36" t="s">
        <v>265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 ht="19.5" customHeight="1">
      <c r="A13" s="36"/>
      <c r="B13" s="35" t="s">
        <v>266</v>
      </c>
      <c r="C13" s="36"/>
      <c r="D13" s="36"/>
      <c r="E13" s="36"/>
      <c r="F13" s="36"/>
      <c r="G13" s="36" t="s">
        <v>7</v>
      </c>
      <c r="H13" s="36" t="s">
        <v>16</v>
      </c>
      <c r="I13" s="143">
        <v>2870</v>
      </c>
      <c r="J13" s="143"/>
      <c r="K13" s="36" t="s">
        <v>265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X13" s="36"/>
    </row>
    <row r="14" spans="1:23" ht="19.5" customHeight="1">
      <c r="A14" s="36"/>
      <c r="B14" s="35" t="s">
        <v>267</v>
      </c>
      <c r="C14" s="36"/>
      <c r="D14" s="36"/>
      <c r="E14" s="36"/>
      <c r="F14" s="36"/>
      <c r="G14" s="36" t="s">
        <v>7</v>
      </c>
      <c r="H14" s="36" t="s">
        <v>1</v>
      </c>
      <c r="I14" s="143">
        <v>25</v>
      </c>
      <c r="J14" s="143"/>
      <c r="K14" s="36" t="s">
        <v>265</v>
      </c>
      <c r="L14" s="36" t="s">
        <v>268</v>
      </c>
      <c r="M14" s="36"/>
      <c r="N14" s="36"/>
      <c r="O14" s="36" t="s">
        <v>15</v>
      </c>
      <c r="P14" s="54">
        <v>13</v>
      </c>
      <c r="Q14" s="37"/>
      <c r="R14" s="36" t="s">
        <v>5</v>
      </c>
      <c r="S14" s="37">
        <f>ROUND(I12/P14,2)</f>
        <v>19.23</v>
      </c>
      <c r="T14" s="38"/>
      <c r="U14" s="36" t="s">
        <v>265</v>
      </c>
      <c r="V14" s="36"/>
      <c r="W14" s="34" t="str">
        <f>IF(I14&gt;=S14,"O.K","N.G")</f>
        <v>O.K</v>
      </c>
    </row>
    <row r="15" spans="1:65" ht="19.5" customHeight="1">
      <c r="A15" s="36"/>
      <c r="B15" s="35" t="s">
        <v>269</v>
      </c>
      <c r="C15" s="36"/>
      <c r="D15" s="36"/>
      <c r="E15" s="36"/>
      <c r="F15" s="36"/>
      <c r="G15" s="36" t="s">
        <v>7</v>
      </c>
      <c r="H15" s="36" t="s">
        <v>17</v>
      </c>
      <c r="I15" s="143">
        <v>0</v>
      </c>
      <c r="J15" s="143"/>
      <c r="K15" s="36" t="s">
        <v>265</v>
      </c>
      <c r="L15" s="36"/>
      <c r="M15" s="36"/>
      <c r="N15" s="36"/>
      <c r="O15" s="36"/>
      <c r="P15" s="36"/>
      <c r="Q15" s="36"/>
      <c r="R15" s="36"/>
      <c r="S15" s="3" t="s">
        <v>145</v>
      </c>
      <c r="T15" s="36"/>
      <c r="U15" s="36"/>
      <c r="V15" s="36"/>
      <c r="W15" s="36"/>
      <c r="X15" s="36"/>
      <c r="BE15" s="144"/>
      <c r="BF15" s="144"/>
      <c r="BG15" s="144"/>
      <c r="BH15" s="144"/>
      <c r="BI15" s="144"/>
      <c r="BJ15" s="144"/>
      <c r="BK15" s="144"/>
      <c r="BL15" s="144"/>
      <c r="BM15" s="144"/>
    </row>
    <row r="16" spans="1:65" ht="19.5" customHeight="1">
      <c r="A16" s="36"/>
      <c r="B16" s="36" t="s">
        <v>270</v>
      </c>
      <c r="C16" s="36"/>
      <c r="D16" s="36"/>
      <c r="E16" s="36"/>
      <c r="F16" s="36"/>
      <c r="G16" s="36" t="s">
        <v>7</v>
      </c>
      <c r="H16" s="36" t="s">
        <v>10</v>
      </c>
      <c r="I16" s="142">
        <v>1</v>
      </c>
      <c r="J16" s="142"/>
      <c r="K16" s="36" t="s">
        <v>18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AA16" s="50" t="s">
        <v>271</v>
      </c>
      <c r="AB16" s="50"/>
      <c r="AC16" s="50"/>
      <c r="AD16" s="50"/>
      <c r="AE16" s="50"/>
      <c r="AF16" s="50"/>
      <c r="AG16" s="50"/>
      <c r="AH16" s="50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45"/>
      <c r="BF16" s="145"/>
      <c r="BG16" s="145"/>
      <c r="BH16" s="145"/>
      <c r="BI16" s="145"/>
      <c r="BJ16" s="145"/>
      <c r="BK16" s="145"/>
      <c r="BL16" s="145"/>
      <c r="BM16" s="145"/>
    </row>
    <row r="17" spans="1:68" ht="19.5" customHeight="1">
      <c r="A17" s="36"/>
      <c r="B17" s="36" t="s">
        <v>272</v>
      </c>
      <c r="C17" s="36"/>
      <c r="D17" s="36"/>
      <c r="E17" s="36"/>
      <c r="F17" s="36"/>
      <c r="G17" s="36" t="s">
        <v>7</v>
      </c>
      <c r="H17" s="36" t="s">
        <v>2</v>
      </c>
      <c r="I17" s="143">
        <v>14</v>
      </c>
      <c r="J17" s="143"/>
      <c r="K17" s="36" t="s">
        <v>265</v>
      </c>
      <c r="L17" s="36"/>
      <c r="M17" s="36"/>
      <c r="N17" s="36"/>
      <c r="O17" s="36"/>
      <c r="P17" s="36"/>
      <c r="AA17" s="90">
        <f>AA29</f>
        <v>2</v>
      </c>
      <c r="AB17" s="91"/>
      <c r="AC17" s="78"/>
      <c r="AD17" s="86" t="s">
        <v>273</v>
      </c>
      <c r="AE17" s="87"/>
      <c r="AF17" s="88"/>
      <c r="AG17" s="86" t="s">
        <v>274</v>
      </c>
      <c r="AH17" s="87"/>
      <c r="AI17" s="88"/>
      <c r="AJ17" s="86" t="s">
        <v>275</v>
      </c>
      <c r="AK17" s="87"/>
      <c r="AL17" s="88"/>
      <c r="AM17" s="86" t="s">
        <v>276</v>
      </c>
      <c r="AN17" s="87"/>
      <c r="AO17" s="88"/>
      <c r="AP17" s="86" t="s">
        <v>23</v>
      </c>
      <c r="AQ17" s="87"/>
      <c r="AR17" s="88"/>
      <c r="AS17" s="146" t="s">
        <v>277</v>
      </c>
      <c r="AT17" s="147"/>
      <c r="AU17" s="148"/>
      <c r="AV17" s="86" t="s">
        <v>261</v>
      </c>
      <c r="AW17" s="87"/>
      <c r="AX17" s="88"/>
      <c r="AY17" s="86" t="s">
        <v>278</v>
      </c>
      <c r="AZ17" s="87"/>
      <c r="BA17" s="88"/>
      <c r="BB17" s="86" t="s">
        <v>279</v>
      </c>
      <c r="BC17" s="87"/>
      <c r="BD17" s="88"/>
      <c r="BE17" s="146" t="s">
        <v>280</v>
      </c>
      <c r="BF17" s="147"/>
      <c r="BG17" s="148"/>
      <c r="BH17" s="86" t="s">
        <v>281</v>
      </c>
      <c r="BI17" s="87"/>
      <c r="BJ17" s="88"/>
      <c r="BK17" s="86" t="s">
        <v>282</v>
      </c>
      <c r="BL17" s="87"/>
      <c r="BM17" s="88"/>
      <c r="BN17" s="146" t="s">
        <v>283</v>
      </c>
      <c r="BO17" s="147"/>
      <c r="BP17" s="148"/>
    </row>
    <row r="18" spans="3:68" ht="19.5" customHeight="1">
      <c r="C18" s="34" t="s">
        <v>17</v>
      </c>
      <c r="D18" s="85">
        <f>I15</f>
        <v>0</v>
      </c>
      <c r="E18" s="85"/>
      <c r="F18" s="36" t="s">
        <v>265</v>
      </c>
      <c r="H18" s="39" t="str">
        <f>IF(D18&lt;L18,"＜","＞")</f>
        <v>＜</v>
      </c>
      <c r="J18" s="34" t="s">
        <v>3</v>
      </c>
      <c r="L18" s="40">
        <f>24*I17</f>
        <v>336</v>
      </c>
      <c r="M18" s="40"/>
      <c r="N18" s="36" t="s">
        <v>284</v>
      </c>
      <c r="AA18" s="149">
        <f>HLOOKUP(H10,AD17:BP18,2,FALSE)</f>
        <v>7</v>
      </c>
      <c r="AB18" s="149"/>
      <c r="AC18" s="149"/>
      <c r="AD18" s="79">
        <v>1</v>
      </c>
      <c r="AE18" s="79"/>
      <c r="AF18" s="79"/>
      <c r="AG18" s="79">
        <v>2</v>
      </c>
      <c r="AH18" s="79"/>
      <c r="AI18" s="79"/>
      <c r="AJ18" s="79">
        <v>3</v>
      </c>
      <c r="AK18" s="79"/>
      <c r="AL18" s="79"/>
      <c r="AM18" s="79">
        <v>4</v>
      </c>
      <c r="AN18" s="79"/>
      <c r="AO18" s="79"/>
      <c r="AP18" s="79">
        <v>5</v>
      </c>
      <c r="AQ18" s="79"/>
      <c r="AR18" s="79"/>
      <c r="AS18" s="79">
        <v>6</v>
      </c>
      <c r="AT18" s="79"/>
      <c r="AU18" s="79"/>
      <c r="AV18" s="79">
        <v>7</v>
      </c>
      <c r="AW18" s="79"/>
      <c r="AX18" s="79"/>
      <c r="AY18" s="79">
        <v>8</v>
      </c>
      <c r="AZ18" s="79"/>
      <c r="BA18" s="79"/>
      <c r="BB18" s="79">
        <v>9</v>
      </c>
      <c r="BC18" s="79"/>
      <c r="BD18" s="79"/>
      <c r="BE18" s="79">
        <v>10</v>
      </c>
      <c r="BF18" s="79"/>
      <c r="BG18" s="79"/>
      <c r="BH18" s="79">
        <v>11</v>
      </c>
      <c r="BI18" s="79"/>
      <c r="BJ18" s="79"/>
      <c r="BK18" s="79">
        <v>12</v>
      </c>
      <c r="BL18" s="79"/>
      <c r="BM18" s="79"/>
      <c r="BN18" s="79">
        <v>13</v>
      </c>
      <c r="BO18" s="79"/>
      <c r="BP18" s="79"/>
    </row>
    <row r="19" spans="2:68" ht="19.5" customHeight="1">
      <c r="B19" s="34" t="s">
        <v>285</v>
      </c>
      <c r="F19" s="34" t="str">
        <f>IF(L18&gt;=D18,"Be = 2·12td + "&amp;I16-1&amp;"·d = ","Be = 2·12td + "&amp;I16-1&amp;"·24 td = ")</f>
        <v>Be = 2·12td + 0·d = </v>
      </c>
      <c r="M19" s="40">
        <f>IF(L18&gt;=D18,2*12*I17+(I16-1)*D18,2*12*I17+(I16-1)*24*I17)</f>
        <v>336</v>
      </c>
      <c r="N19" s="40"/>
      <c r="O19" s="36" t="s">
        <v>265</v>
      </c>
      <c r="AA19" s="150" t="s">
        <v>286</v>
      </c>
      <c r="AB19" s="151"/>
      <c r="AC19" s="152"/>
      <c r="AD19" s="78">
        <f>IF(AA17=2,18,19)</f>
        <v>18</v>
      </c>
      <c r="AE19" s="79"/>
      <c r="AF19" s="79"/>
      <c r="AG19" s="78">
        <f>AD19</f>
        <v>18</v>
      </c>
      <c r="AH19" s="79"/>
      <c r="AI19" s="79"/>
      <c r="AJ19" s="78">
        <f>AD19</f>
        <v>18</v>
      </c>
      <c r="AK19" s="79"/>
      <c r="AL19" s="79"/>
      <c r="AM19" s="78">
        <v>18</v>
      </c>
      <c r="AN19" s="79"/>
      <c r="AO19" s="79"/>
      <c r="AP19" s="90">
        <v>16</v>
      </c>
      <c r="AQ19" s="91"/>
      <c r="AR19" s="78"/>
      <c r="AS19" s="78">
        <f>AP19</f>
        <v>16</v>
      </c>
      <c r="AT19" s="79"/>
      <c r="AU19" s="79"/>
      <c r="AV19" s="78">
        <f>IF(AA17=2,15,IF(AA17=3,15,16))</f>
        <v>15</v>
      </c>
      <c r="AW19" s="79"/>
      <c r="AX19" s="79"/>
      <c r="AY19" s="78">
        <f>AV19</f>
        <v>15</v>
      </c>
      <c r="AZ19" s="79"/>
      <c r="BA19" s="79"/>
      <c r="BB19" s="78">
        <f>AV19</f>
        <v>15</v>
      </c>
      <c r="BC19" s="79"/>
      <c r="BD19" s="79"/>
      <c r="BE19" s="78">
        <v>15</v>
      </c>
      <c r="BF19" s="79"/>
      <c r="BG19" s="79"/>
      <c r="BH19" s="78">
        <f>IF(AA17=2,18,IF(AA17=3,17,17))</f>
        <v>18</v>
      </c>
      <c r="BI19" s="79"/>
      <c r="BJ19" s="79"/>
      <c r="BK19" s="78">
        <f>BH19</f>
        <v>18</v>
      </c>
      <c r="BL19" s="79"/>
      <c r="BM19" s="79"/>
      <c r="BN19" s="78">
        <v>18</v>
      </c>
      <c r="BO19" s="79"/>
      <c r="BP19" s="79"/>
    </row>
    <row r="20" spans="2:68" ht="19.5" customHeight="1">
      <c r="B20" s="34" t="s">
        <v>4</v>
      </c>
      <c r="F20" s="34" t="str">
        <f>"As = "&amp;I12&amp;" ×"&amp;I14&amp;" ×"&amp;I16*2&amp;" ="</f>
        <v>As = 250 ×25 ×2 =</v>
      </c>
      <c r="L20" s="84">
        <f>I12*I14*I16*2</f>
        <v>12500</v>
      </c>
      <c r="M20" s="84"/>
      <c r="N20" s="34" t="s">
        <v>287</v>
      </c>
      <c r="AA20" s="92" t="s">
        <v>288</v>
      </c>
      <c r="AB20" s="93"/>
      <c r="AC20" s="94"/>
      <c r="AD20" s="78">
        <f>IF(AA17=2,92,96)</f>
        <v>92</v>
      </c>
      <c r="AE20" s="79"/>
      <c r="AF20" s="79"/>
      <c r="AG20" s="79">
        <f>AD20</f>
        <v>92</v>
      </c>
      <c r="AH20" s="79"/>
      <c r="AI20" s="79"/>
      <c r="AJ20" s="79">
        <f>AD20</f>
        <v>92</v>
      </c>
      <c r="AK20" s="79"/>
      <c r="AL20" s="79"/>
      <c r="AM20" s="78">
        <v>92</v>
      </c>
      <c r="AN20" s="79"/>
      <c r="AO20" s="79"/>
      <c r="AP20" s="90">
        <f>IF(AA17=2,79,82)</f>
        <v>79</v>
      </c>
      <c r="AQ20" s="91"/>
      <c r="AR20" s="78"/>
      <c r="AS20" s="95">
        <v>79</v>
      </c>
      <c r="AT20" s="95"/>
      <c r="AU20" s="95"/>
      <c r="AV20" s="95">
        <f>IF(AA17=2,75,IF(AA17=3,77,78))</f>
        <v>75</v>
      </c>
      <c r="AW20" s="95"/>
      <c r="AX20" s="95"/>
      <c r="AY20" s="78">
        <f>AV20</f>
        <v>75</v>
      </c>
      <c r="AZ20" s="79"/>
      <c r="BA20" s="79"/>
      <c r="BB20" s="78">
        <f>AV20</f>
        <v>75</v>
      </c>
      <c r="BC20" s="79"/>
      <c r="BD20" s="79"/>
      <c r="BE20" s="78">
        <v>75</v>
      </c>
      <c r="BF20" s="79"/>
      <c r="BG20" s="79"/>
      <c r="BH20" s="79">
        <f>IF(AA17=2,67,69)</f>
        <v>67</v>
      </c>
      <c r="BI20" s="79"/>
      <c r="BJ20" s="79"/>
      <c r="BK20" s="79">
        <f>BH20</f>
        <v>67</v>
      </c>
      <c r="BL20" s="79"/>
      <c r="BM20" s="79"/>
      <c r="BN20" s="79">
        <v>67</v>
      </c>
      <c r="BO20" s="79"/>
      <c r="BP20" s="79"/>
    </row>
    <row r="21" spans="2:68" ht="19.5" customHeight="1">
      <c r="B21" s="34" t="s">
        <v>289</v>
      </c>
      <c r="F21" s="34" t="str">
        <f>"Ae = "&amp;M19&amp;" ×"&amp;I17&amp;" + "&amp;L20&amp;" ="</f>
        <v>Ae = 336 ×14 + 12500 =</v>
      </c>
      <c r="L21" s="41">
        <f>ROUND(M19*I17+L20,3)</f>
        <v>17204</v>
      </c>
      <c r="M21" s="42"/>
      <c r="N21" s="42"/>
      <c r="O21" s="34" t="s">
        <v>287</v>
      </c>
      <c r="Q21" s="39" t="str">
        <f>IF(L21&lt;U21,"＜","＞")</f>
        <v>＜</v>
      </c>
      <c r="S21" s="34" t="s">
        <v>19</v>
      </c>
      <c r="U21" s="41">
        <f>1.7*L20</f>
        <v>21250</v>
      </c>
      <c r="V21" s="41"/>
      <c r="W21" s="34" t="s">
        <v>287</v>
      </c>
      <c r="AA21" s="153" t="str">
        <f>IF(AA17=2,"40",IF(AA17=3,"40-70","75-100"))</f>
        <v>40</v>
      </c>
      <c r="AB21" s="154"/>
      <c r="AC21" s="155"/>
      <c r="AD21" s="96">
        <f>IF(AA17=2,0.82,0.68)</f>
        <v>0.82</v>
      </c>
      <c r="AE21" s="97"/>
      <c r="AF21" s="97"/>
      <c r="AG21" s="96">
        <f>AD21</f>
        <v>0.82</v>
      </c>
      <c r="AH21" s="97"/>
      <c r="AI21" s="97"/>
      <c r="AJ21" s="96">
        <f>AD21</f>
        <v>0.82</v>
      </c>
      <c r="AK21" s="97"/>
      <c r="AL21" s="97"/>
      <c r="AM21" s="78">
        <v>0.82</v>
      </c>
      <c r="AN21" s="79"/>
      <c r="AO21" s="79"/>
      <c r="AP21" s="98">
        <f>IF(AA17=2,1.2,1.1)</f>
        <v>1.2</v>
      </c>
      <c r="AQ21" s="99"/>
      <c r="AR21" s="96"/>
      <c r="AS21" s="96">
        <v>1.2</v>
      </c>
      <c r="AT21" s="97"/>
      <c r="AU21" s="97"/>
      <c r="AV21" s="96">
        <f>IF(AA17=2,1.5,IF(AA17=3,1.3,1.3))</f>
        <v>1.5</v>
      </c>
      <c r="AW21" s="97"/>
      <c r="AX21" s="97"/>
      <c r="AY21" s="96">
        <f>AV21</f>
        <v>1.5</v>
      </c>
      <c r="AZ21" s="97"/>
      <c r="BA21" s="97"/>
      <c r="BB21" s="96">
        <f>AV21</f>
        <v>1.5</v>
      </c>
      <c r="BC21" s="97"/>
      <c r="BD21" s="97"/>
      <c r="BE21" s="96">
        <v>1.5</v>
      </c>
      <c r="BF21" s="97"/>
      <c r="BG21" s="97"/>
      <c r="BH21" s="96">
        <f>IF(AA17=2,2.1,IF(AA17=3,2,1.9))</f>
        <v>2.1</v>
      </c>
      <c r="BI21" s="97"/>
      <c r="BJ21" s="97"/>
      <c r="BK21" s="96">
        <f>BH21</f>
        <v>2.1</v>
      </c>
      <c r="BL21" s="97"/>
      <c r="BM21" s="97"/>
      <c r="BN21" s="96">
        <v>2.1</v>
      </c>
      <c r="BO21" s="97"/>
      <c r="BP21" s="97"/>
    </row>
    <row r="22" spans="3:68" ht="19.5" customHeight="1">
      <c r="C22" s="34" t="s">
        <v>290</v>
      </c>
      <c r="J22" s="41">
        <f>MIN(L21,U21)</f>
        <v>17204</v>
      </c>
      <c r="K22" s="43"/>
      <c r="L22" s="34" t="s">
        <v>287</v>
      </c>
      <c r="O22" s="3" t="s">
        <v>145</v>
      </c>
      <c r="AA22" s="156"/>
      <c r="AB22" s="157"/>
      <c r="AC22" s="158"/>
      <c r="AD22" s="78">
        <f>IF(AA17=2,6700,7300)</f>
        <v>6700</v>
      </c>
      <c r="AE22" s="79"/>
      <c r="AF22" s="79"/>
      <c r="AG22" s="78">
        <f>AD22</f>
        <v>6700</v>
      </c>
      <c r="AH22" s="79"/>
      <c r="AI22" s="79"/>
      <c r="AJ22" s="78">
        <f>AD22</f>
        <v>6700</v>
      </c>
      <c r="AK22" s="79"/>
      <c r="AL22" s="79"/>
      <c r="AM22" s="78">
        <v>6700</v>
      </c>
      <c r="AN22" s="79"/>
      <c r="AO22" s="79"/>
      <c r="AP22" s="90">
        <f>IF(AA17=2,5000,5300)</f>
        <v>5000</v>
      </c>
      <c r="AQ22" s="91"/>
      <c r="AR22" s="78"/>
      <c r="AS22" s="78">
        <v>5000</v>
      </c>
      <c r="AT22" s="79"/>
      <c r="AU22" s="79"/>
      <c r="AV22" s="78">
        <f>IF(AA17=2,4400,IF(AA17=3,4700,4800))</f>
        <v>4400</v>
      </c>
      <c r="AW22" s="79"/>
      <c r="AX22" s="79"/>
      <c r="AY22" s="78">
        <f>AV22</f>
        <v>4400</v>
      </c>
      <c r="AZ22" s="79"/>
      <c r="BA22" s="79"/>
      <c r="BB22" s="78">
        <f>AV22</f>
        <v>4400</v>
      </c>
      <c r="BC22" s="79"/>
      <c r="BD22" s="79"/>
      <c r="BE22" s="78">
        <v>4400</v>
      </c>
      <c r="BF22" s="79"/>
      <c r="BG22" s="79"/>
      <c r="BH22" s="78">
        <f>IF(AA17=2,3500,IF(AA17=3,3600,3700))</f>
        <v>3500</v>
      </c>
      <c r="BI22" s="79"/>
      <c r="BJ22" s="79"/>
      <c r="BK22" s="78">
        <f>BH22</f>
        <v>3500</v>
      </c>
      <c r="BL22" s="79"/>
      <c r="BM22" s="79"/>
      <c r="BN22" s="78">
        <v>3500</v>
      </c>
      <c r="BO22" s="79"/>
      <c r="BP22" s="79"/>
    </row>
    <row r="23" spans="2:68" ht="19.5" customHeight="1">
      <c r="B23" s="34" t="s">
        <v>291</v>
      </c>
      <c r="AA23" s="50" t="s">
        <v>292</v>
      </c>
      <c r="AB23" s="50"/>
      <c r="AC23" s="50"/>
      <c r="AD23" s="50"/>
      <c r="AE23" s="50"/>
      <c r="AF23" s="50"/>
      <c r="AG23" s="50"/>
      <c r="AH23" s="50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</row>
    <row r="24" spans="3:68" ht="19.5" customHeight="1">
      <c r="C24" s="34" t="str">
        <f>"I = "&amp;M19&amp;" ×"&amp;I17&amp;"³/ 12  +  { "&amp;I14&amp;" ×"&amp;I12&amp;"³/ 12  +  "&amp;I14&amp;" ×"&amp;I12&amp;" ×"&amp;(I12+I17)/2&amp;"²} × "&amp;I16*2&amp;" ="</f>
        <v>I = 336 ×14³/ 12  +  { 25 ×250³/ 12  +  25 ×250 ×132²} × 2 =</v>
      </c>
      <c r="T24" s="42">
        <f>ROUND((M19*I17^3/12)+((I14*I12^3/12)+(I14*I12*((I12+I17)/2)^2))*I16*2,3)</f>
        <v>282980998.667</v>
      </c>
      <c r="U24" s="42"/>
      <c r="V24" s="42"/>
      <c r="W24" s="34" t="s">
        <v>293</v>
      </c>
      <c r="AA24" s="90">
        <f>AA29</f>
        <v>2</v>
      </c>
      <c r="AB24" s="91"/>
      <c r="AC24" s="78"/>
      <c r="AD24" s="86" t="s">
        <v>273</v>
      </c>
      <c r="AE24" s="87"/>
      <c r="AF24" s="88"/>
      <c r="AG24" s="86" t="s">
        <v>274</v>
      </c>
      <c r="AH24" s="87"/>
      <c r="AI24" s="88"/>
      <c r="AJ24" s="86" t="s">
        <v>275</v>
      </c>
      <c r="AK24" s="87"/>
      <c r="AL24" s="88"/>
      <c r="AM24" s="86" t="s">
        <v>276</v>
      </c>
      <c r="AN24" s="87"/>
      <c r="AO24" s="88"/>
      <c r="AP24" s="86" t="s">
        <v>23</v>
      </c>
      <c r="AQ24" s="87"/>
      <c r="AR24" s="88"/>
      <c r="AS24" s="146" t="s">
        <v>277</v>
      </c>
      <c r="AT24" s="147"/>
      <c r="AU24" s="148"/>
      <c r="AV24" s="86" t="s">
        <v>261</v>
      </c>
      <c r="AW24" s="87"/>
      <c r="AX24" s="88"/>
      <c r="AY24" s="86" t="s">
        <v>278</v>
      </c>
      <c r="AZ24" s="87"/>
      <c r="BA24" s="88"/>
      <c r="BB24" s="86" t="s">
        <v>279</v>
      </c>
      <c r="BC24" s="87"/>
      <c r="BD24" s="88"/>
      <c r="BE24" s="146" t="s">
        <v>280</v>
      </c>
      <c r="BF24" s="147"/>
      <c r="BG24" s="148"/>
      <c r="BH24" s="86" t="s">
        <v>281</v>
      </c>
      <c r="BI24" s="87"/>
      <c r="BJ24" s="88"/>
      <c r="BK24" s="86" t="s">
        <v>282</v>
      </c>
      <c r="BL24" s="87"/>
      <c r="BM24" s="88"/>
      <c r="BN24" s="146" t="s">
        <v>283</v>
      </c>
      <c r="BO24" s="147"/>
      <c r="BP24" s="148"/>
    </row>
    <row r="25" spans="2:68" ht="19.5" customHeight="1">
      <c r="B25" s="48" t="s">
        <v>294</v>
      </c>
      <c r="K25" s="82">
        <f>ROUND(SQRT(T24/J22),3)</f>
        <v>128.252</v>
      </c>
      <c r="L25" s="82"/>
      <c r="M25" s="83" t="s">
        <v>22</v>
      </c>
      <c r="AA25" s="149">
        <f>HLOOKUP(H10,AD24:BP25,2,FALSE)</f>
        <v>7</v>
      </c>
      <c r="AB25" s="149"/>
      <c r="AC25" s="149"/>
      <c r="AD25" s="79">
        <v>1</v>
      </c>
      <c r="AE25" s="79"/>
      <c r="AF25" s="79"/>
      <c r="AG25" s="79">
        <v>2</v>
      </c>
      <c r="AH25" s="79"/>
      <c r="AI25" s="79"/>
      <c r="AJ25" s="79">
        <v>3</v>
      </c>
      <c r="AK25" s="79"/>
      <c r="AL25" s="79"/>
      <c r="AM25" s="79">
        <v>4</v>
      </c>
      <c r="AN25" s="79"/>
      <c r="AO25" s="79"/>
      <c r="AP25" s="79">
        <v>5</v>
      </c>
      <c r="AQ25" s="79"/>
      <c r="AR25" s="79"/>
      <c r="AS25" s="79">
        <v>6</v>
      </c>
      <c r="AT25" s="79"/>
      <c r="AU25" s="79"/>
      <c r="AV25" s="79">
        <v>7</v>
      </c>
      <c r="AW25" s="79"/>
      <c r="AX25" s="79"/>
      <c r="AY25" s="79">
        <v>8</v>
      </c>
      <c r="AZ25" s="79"/>
      <c r="BA25" s="79"/>
      <c r="BB25" s="79">
        <v>9</v>
      </c>
      <c r="BC25" s="79"/>
      <c r="BD25" s="79"/>
      <c r="BE25" s="79">
        <v>10</v>
      </c>
      <c r="BF25" s="79"/>
      <c r="BG25" s="79"/>
      <c r="BH25" s="79">
        <v>11</v>
      </c>
      <c r="BI25" s="79"/>
      <c r="BJ25" s="79"/>
      <c r="BK25" s="79">
        <v>12</v>
      </c>
      <c r="BL25" s="79"/>
      <c r="BM25" s="79"/>
      <c r="BN25" s="79">
        <v>13</v>
      </c>
      <c r="BO25" s="79"/>
      <c r="BP25" s="79"/>
    </row>
    <row r="26" spans="11:68" s="44" customFormat="1" ht="19.5" customHeight="1">
      <c r="K26" s="82"/>
      <c r="L26" s="82"/>
      <c r="M26" s="83"/>
      <c r="AA26" s="92" t="s">
        <v>288</v>
      </c>
      <c r="AB26" s="93"/>
      <c r="AC26" s="94"/>
      <c r="AD26" s="78">
        <f>IF(AA29=2,140,125)</f>
        <v>140</v>
      </c>
      <c r="AE26" s="79"/>
      <c r="AF26" s="79"/>
      <c r="AG26" s="79">
        <f>IF(AA29=2,140,125)</f>
        <v>140</v>
      </c>
      <c r="AH26" s="79"/>
      <c r="AI26" s="79"/>
      <c r="AJ26" s="79">
        <f>IF(AA29=2,140,125)</f>
        <v>140</v>
      </c>
      <c r="AK26" s="79"/>
      <c r="AL26" s="79"/>
      <c r="AM26" s="79">
        <f>IF(AA29=2,140,140)</f>
        <v>140</v>
      </c>
      <c r="AN26" s="79"/>
      <c r="AO26" s="79"/>
      <c r="AP26" s="95">
        <f>IF(AA29=2,185,175)</f>
        <v>185</v>
      </c>
      <c r="AQ26" s="95"/>
      <c r="AR26" s="95"/>
      <c r="AS26" s="95">
        <f>IF(AA29=2,185,185)</f>
        <v>185</v>
      </c>
      <c r="AT26" s="95"/>
      <c r="AU26" s="95"/>
      <c r="AV26" s="95">
        <f>IF(AA29=2,210,IF(AA29=3,195,190))</f>
        <v>210</v>
      </c>
      <c r="AW26" s="95"/>
      <c r="AX26" s="95"/>
      <c r="AY26" s="78">
        <f>IF(AA29=2,210,IF(AA29=3,195,190))</f>
        <v>210</v>
      </c>
      <c r="AZ26" s="79"/>
      <c r="BA26" s="79"/>
      <c r="BB26" s="78">
        <f>IF(AA29=2,210,IF(AA29=3,195,190))</f>
        <v>210</v>
      </c>
      <c r="BC26" s="79"/>
      <c r="BD26" s="79"/>
      <c r="BE26" s="78">
        <f>IF(AA29=2,255,255)</f>
        <v>255</v>
      </c>
      <c r="BF26" s="79"/>
      <c r="BG26" s="79"/>
      <c r="BH26" s="79">
        <f>IF(AA29=2,255,IF(AA29=3,245,240))</f>
        <v>255</v>
      </c>
      <c r="BI26" s="79"/>
      <c r="BJ26" s="79"/>
      <c r="BK26" s="79">
        <f>IF(AA29=2,255,IF(AA29=3,245,240))</f>
        <v>255</v>
      </c>
      <c r="BL26" s="79"/>
      <c r="BM26" s="79"/>
      <c r="BN26" s="79">
        <f>IF(AA29=2,255,255)</f>
        <v>255</v>
      </c>
      <c r="BO26" s="79"/>
      <c r="BP26" s="79"/>
    </row>
    <row r="27" spans="2:68" ht="19.5" customHeight="1">
      <c r="B27" s="34" t="s">
        <v>295</v>
      </c>
      <c r="G27" s="34" t="s">
        <v>20</v>
      </c>
      <c r="K27" s="85">
        <f>I13/2</f>
        <v>1435</v>
      </c>
      <c r="L27" s="85"/>
      <c r="M27" s="36" t="s">
        <v>265</v>
      </c>
      <c r="AA27" s="156" t="str">
        <f>IF(AA24=2,"40",IF(AA24=3,"40-70","75-100"))</f>
        <v>40</v>
      </c>
      <c r="AB27" s="157"/>
      <c r="AC27" s="158"/>
      <c r="AD27" s="80">
        <f>IF(AA29=2,12.8,13.6)</f>
        <v>12.8</v>
      </c>
      <c r="AE27" s="81"/>
      <c r="AF27" s="81"/>
      <c r="AG27" s="80">
        <f>IF(AA29=2,12.8,13.6)</f>
        <v>12.8</v>
      </c>
      <c r="AH27" s="81"/>
      <c r="AI27" s="81"/>
      <c r="AJ27" s="80">
        <f>IF(AA29=2,12.8,13.6)</f>
        <v>12.8</v>
      </c>
      <c r="AK27" s="81"/>
      <c r="AL27" s="81"/>
      <c r="AM27" s="80">
        <f>IF(AA29=2,12.8,12.8)</f>
        <v>12.8</v>
      </c>
      <c r="AN27" s="81"/>
      <c r="AO27" s="81"/>
      <c r="AP27" s="80">
        <f>IF(AA29=2,11.2,11.5)</f>
        <v>11.2</v>
      </c>
      <c r="AQ27" s="81"/>
      <c r="AR27" s="81"/>
      <c r="AS27" s="80">
        <f>IF(AA29=2,11.2,11.2)</f>
        <v>11.2</v>
      </c>
      <c r="AT27" s="81"/>
      <c r="AU27" s="81"/>
      <c r="AV27" s="80">
        <f>IF(AA29=2,10.5,IF(AA29=3,10.9,11))</f>
        <v>10.5</v>
      </c>
      <c r="AW27" s="81"/>
      <c r="AX27" s="81"/>
      <c r="AY27" s="80">
        <f>IF(AA29=2,10.5,IF(AA29=3,10.9,11))</f>
        <v>10.5</v>
      </c>
      <c r="AZ27" s="81"/>
      <c r="BA27" s="81"/>
      <c r="BB27" s="80">
        <f>IF(AA29=2,10.5,IF(AA29=3,10.9,11))</f>
        <v>10.5</v>
      </c>
      <c r="BC27" s="81"/>
      <c r="BD27" s="81"/>
      <c r="BE27" s="80">
        <f>IF(AA29=2,9.5,9.5)</f>
        <v>9.5</v>
      </c>
      <c r="BF27" s="81"/>
      <c r="BG27" s="81"/>
      <c r="BH27" s="80">
        <f>IF(AA29=2,9.5,IF(AA29=3,9.7,9.8))</f>
        <v>9.5</v>
      </c>
      <c r="BI27" s="81"/>
      <c r="BJ27" s="81"/>
      <c r="BK27" s="80">
        <f>IF(AA29=2,9.5,IF(AA29=3,9.7,9.8))</f>
        <v>9.5</v>
      </c>
      <c r="BL27" s="81"/>
      <c r="BM27" s="81"/>
      <c r="BN27" s="80">
        <f>IF(AA29=2,9.5,9.5)</f>
        <v>9.5</v>
      </c>
      <c r="BO27" s="81"/>
      <c r="BP27" s="81"/>
    </row>
    <row r="28" spans="2:68" ht="19.5" customHeight="1">
      <c r="B28" s="34" t="s">
        <v>296</v>
      </c>
      <c r="O28" s="3" t="s">
        <v>146</v>
      </c>
      <c r="AA28" s="89" t="s">
        <v>297</v>
      </c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</row>
    <row r="29" spans="2:68" ht="19.5" customHeight="1">
      <c r="B29" s="34" t="s">
        <v>298</v>
      </c>
      <c r="D29" s="45">
        <f>K27/K25</f>
        <v>11.188909334747215</v>
      </c>
      <c r="E29" s="45"/>
      <c r="G29" s="34" t="s">
        <v>299</v>
      </c>
      <c r="H29" s="34" t="s">
        <v>300</v>
      </c>
      <c r="J29" s="46">
        <f>IF(LOOKUP(AA18,AD18:BP18,AD19:BP19)&gt;=D29,HLOOKUP(H10,AD29:BP32,AA29,FALSE),IF(LOOKUP(AA18,AD18:BP18,AD20:BP20)&gt;=D29,HLOOKUP(H10,AD29:BP32,AA29,FALSE)-LOOKUP(AA18,AD18:BP18,AD21:BP21)*(D29-LOOKUP(AA18,AD18:BP18,AD19:BP19)),1200000/(LOOKUP(AA18,AD18:BP18,AD22:BP22)+D29^2)))</f>
        <v>210</v>
      </c>
      <c r="K29" s="42"/>
      <c r="L29" s="34" t="s">
        <v>147</v>
      </c>
      <c r="N29" s="34" t="s">
        <v>301</v>
      </c>
      <c r="AA29" s="90">
        <f>IF(I14&lt;=40,2,IF(I14&lt;=75,3,4))</f>
        <v>2</v>
      </c>
      <c r="AB29" s="91"/>
      <c r="AC29" s="78"/>
      <c r="AD29" s="86" t="s">
        <v>273</v>
      </c>
      <c r="AE29" s="87"/>
      <c r="AF29" s="88"/>
      <c r="AG29" s="86" t="s">
        <v>274</v>
      </c>
      <c r="AH29" s="87"/>
      <c r="AI29" s="88"/>
      <c r="AJ29" s="86" t="s">
        <v>275</v>
      </c>
      <c r="AK29" s="87"/>
      <c r="AL29" s="88"/>
      <c r="AM29" s="86" t="s">
        <v>276</v>
      </c>
      <c r="AN29" s="87"/>
      <c r="AO29" s="88"/>
      <c r="AP29" s="86" t="s">
        <v>23</v>
      </c>
      <c r="AQ29" s="87"/>
      <c r="AR29" s="88"/>
      <c r="AS29" s="146" t="s">
        <v>277</v>
      </c>
      <c r="AT29" s="147"/>
      <c r="AU29" s="148"/>
      <c r="AV29" s="86" t="s">
        <v>261</v>
      </c>
      <c r="AW29" s="87"/>
      <c r="AX29" s="88"/>
      <c r="AY29" s="86" t="s">
        <v>278</v>
      </c>
      <c r="AZ29" s="87"/>
      <c r="BA29" s="88"/>
      <c r="BB29" s="86" t="s">
        <v>279</v>
      </c>
      <c r="BC29" s="87"/>
      <c r="BD29" s="88"/>
      <c r="BE29" s="146" t="s">
        <v>280</v>
      </c>
      <c r="BF29" s="147"/>
      <c r="BG29" s="148"/>
      <c r="BH29" s="86" t="s">
        <v>281</v>
      </c>
      <c r="BI29" s="87"/>
      <c r="BJ29" s="88"/>
      <c r="BK29" s="86" t="s">
        <v>282</v>
      </c>
      <c r="BL29" s="87"/>
      <c r="BM29" s="88"/>
      <c r="BN29" s="146" t="s">
        <v>283</v>
      </c>
      <c r="BO29" s="147"/>
      <c r="BP29" s="148"/>
    </row>
    <row r="30" spans="2:68" ht="19.5" customHeight="1">
      <c r="B30" s="34" t="str">
        <f>IF((I12/I14)&gt;16,"강재두께 확인 요망",IF((I12/I14)&lt;=LOOKUP(AA25,AD25:BP25,AD27:BP27),"b ≤ "&amp;LOOKUP(AA25,AD25:BP25,AD27:BP27)&amp;"/ t ⇒","b/16 ≤ t &lt; b/"&amp;LOOKUP(AA25,AD25:BP25,AD27:BP27)&amp;"   ⇒"))</f>
        <v>b ≤ 10.5/ t ⇒</v>
      </c>
      <c r="E30" s="45"/>
      <c r="F30" s="45"/>
      <c r="H30" s="34" t="s">
        <v>302</v>
      </c>
      <c r="J30" s="46">
        <f>IF((I12/I14)&lt;=LOOKUP(AA25,AD25:BP25,AD27:BP27),ROUND(LOOKUP(AA25,AD25:BP25,AD26:BP26),1),ROUND(23000/(I12/I14)^2,1))</f>
        <v>210</v>
      </c>
      <c r="K30" s="42"/>
      <c r="L30" s="34" t="s">
        <v>147</v>
      </c>
      <c r="N30" s="34" t="s">
        <v>303</v>
      </c>
      <c r="AA30" s="79">
        <v>40</v>
      </c>
      <c r="AB30" s="79"/>
      <c r="AC30" s="79"/>
      <c r="AD30" s="90">
        <v>140</v>
      </c>
      <c r="AE30" s="91"/>
      <c r="AF30" s="78"/>
      <c r="AG30" s="90">
        <v>140</v>
      </c>
      <c r="AH30" s="91"/>
      <c r="AI30" s="78"/>
      <c r="AJ30" s="90">
        <v>140</v>
      </c>
      <c r="AK30" s="91"/>
      <c r="AL30" s="78"/>
      <c r="AM30" s="90">
        <v>140</v>
      </c>
      <c r="AN30" s="91"/>
      <c r="AO30" s="78"/>
      <c r="AP30" s="90">
        <v>185</v>
      </c>
      <c r="AQ30" s="91"/>
      <c r="AR30" s="78"/>
      <c r="AS30" s="90">
        <v>185</v>
      </c>
      <c r="AT30" s="91"/>
      <c r="AU30" s="78"/>
      <c r="AV30" s="90">
        <v>210</v>
      </c>
      <c r="AW30" s="91"/>
      <c r="AX30" s="78"/>
      <c r="AY30" s="90">
        <v>210</v>
      </c>
      <c r="AZ30" s="91"/>
      <c r="BA30" s="78"/>
      <c r="BB30" s="90">
        <v>210</v>
      </c>
      <c r="BC30" s="91"/>
      <c r="BD30" s="78"/>
      <c r="BE30" s="90">
        <v>210</v>
      </c>
      <c r="BF30" s="91"/>
      <c r="BG30" s="78"/>
      <c r="BH30" s="90">
        <v>255</v>
      </c>
      <c r="BI30" s="91"/>
      <c r="BJ30" s="78"/>
      <c r="BK30" s="90">
        <v>255</v>
      </c>
      <c r="BL30" s="91"/>
      <c r="BM30" s="78"/>
      <c r="BN30" s="90">
        <v>255</v>
      </c>
      <c r="BO30" s="91"/>
      <c r="BP30" s="78"/>
    </row>
    <row r="31" spans="3:68" ht="19.5" customHeight="1">
      <c r="C31" s="47"/>
      <c r="E31" s="45"/>
      <c r="F31" s="45"/>
      <c r="H31" s="34" t="s">
        <v>304</v>
      </c>
      <c r="J31" s="46">
        <f>HLOOKUP(H10,AD29:BP32,AA29,FALSE)</f>
        <v>210</v>
      </c>
      <c r="K31" s="42"/>
      <c r="L31" s="34" t="s">
        <v>147</v>
      </c>
      <c r="N31" s="34" t="s">
        <v>305</v>
      </c>
      <c r="AA31" s="159" t="s">
        <v>306</v>
      </c>
      <c r="AB31" s="159"/>
      <c r="AC31" s="159"/>
      <c r="AD31" s="90">
        <v>125</v>
      </c>
      <c r="AE31" s="91"/>
      <c r="AF31" s="78"/>
      <c r="AG31" s="90">
        <v>125</v>
      </c>
      <c r="AH31" s="91"/>
      <c r="AI31" s="78"/>
      <c r="AJ31" s="90">
        <v>125</v>
      </c>
      <c r="AK31" s="91"/>
      <c r="AL31" s="78"/>
      <c r="AM31" s="90">
        <v>140</v>
      </c>
      <c r="AN31" s="91"/>
      <c r="AO31" s="78"/>
      <c r="AP31" s="90">
        <v>175</v>
      </c>
      <c r="AQ31" s="91"/>
      <c r="AR31" s="78"/>
      <c r="AS31" s="90">
        <v>185</v>
      </c>
      <c r="AT31" s="91"/>
      <c r="AU31" s="78"/>
      <c r="AV31" s="90">
        <v>195</v>
      </c>
      <c r="AW31" s="91"/>
      <c r="AX31" s="78"/>
      <c r="AY31" s="90">
        <v>195</v>
      </c>
      <c r="AZ31" s="91"/>
      <c r="BA31" s="78"/>
      <c r="BB31" s="90">
        <v>195</v>
      </c>
      <c r="BC31" s="91"/>
      <c r="BD31" s="78"/>
      <c r="BE31" s="90">
        <v>210</v>
      </c>
      <c r="BF31" s="91"/>
      <c r="BG31" s="78"/>
      <c r="BH31" s="90">
        <v>245</v>
      </c>
      <c r="BI31" s="91"/>
      <c r="BJ31" s="78"/>
      <c r="BK31" s="90">
        <v>245</v>
      </c>
      <c r="BL31" s="91"/>
      <c r="BM31" s="78"/>
      <c r="BN31" s="90">
        <v>255</v>
      </c>
      <c r="BO31" s="91"/>
      <c r="BP31" s="78"/>
    </row>
    <row r="32" spans="2:68" ht="19.5" customHeight="1">
      <c r="B32" s="34" t="s">
        <v>307</v>
      </c>
      <c r="C32" s="47"/>
      <c r="E32" s="45"/>
      <c r="F32" s="45"/>
      <c r="J32" s="43">
        <f>J29*J30/J31</f>
        <v>210</v>
      </c>
      <c r="K32" s="42"/>
      <c r="L32" s="34" t="s">
        <v>147</v>
      </c>
      <c r="N32" s="34" t="s">
        <v>308</v>
      </c>
      <c r="AA32" s="159" t="s">
        <v>309</v>
      </c>
      <c r="AB32" s="159"/>
      <c r="AC32" s="159"/>
      <c r="AD32" s="90">
        <v>125</v>
      </c>
      <c r="AE32" s="91"/>
      <c r="AF32" s="78"/>
      <c r="AG32" s="90">
        <v>125</v>
      </c>
      <c r="AH32" s="91"/>
      <c r="AI32" s="78"/>
      <c r="AJ32" s="90">
        <v>125</v>
      </c>
      <c r="AK32" s="91"/>
      <c r="AL32" s="78"/>
      <c r="AM32" s="90">
        <v>140</v>
      </c>
      <c r="AN32" s="91"/>
      <c r="AO32" s="78"/>
      <c r="AP32" s="90">
        <v>175</v>
      </c>
      <c r="AQ32" s="91"/>
      <c r="AR32" s="78"/>
      <c r="AS32" s="90">
        <v>185</v>
      </c>
      <c r="AT32" s="91"/>
      <c r="AU32" s="78"/>
      <c r="AV32" s="90">
        <v>190</v>
      </c>
      <c r="AW32" s="91"/>
      <c r="AX32" s="78"/>
      <c r="AY32" s="90">
        <v>190</v>
      </c>
      <c r="AZ32" s="91"/>
      <c r="BA32" s="78"/>
      <c r="BB32" s="90">
        <v>190</v>
      </c>
      <c r="BC32" s="91"/>
      <c r="BD32" s="78"/>
      <c r="BE32" s="90">
        <v>210</v>
      </c>
      <c r="BF32" s="91"/>
      <c r="BG32" s="78"/>
      <c r="BH32" s="90">
        <v>240</v>
      </c>
      <c r="BI32" s="91"/>
      <c r="BJ32" s="78"/>
      <c r="BK32" s="90">
        <v>240</v>
      </c>
      <c r="BL32" s="91"/>
      <c r="BM32" s="78"/>
      <c r="BN32" s="90">
        <v>255</v>
      </c>
      <c r="BO32" s="91"/>
      <c r="BP32" s="78"/>
    </row>
    <row r="33" spans="2:27" ht="19.5" customHeight="1">
      <c r="B33" s="34" t="s">
        <v>310</v>
      </c>
      <c r="G33" s="42">
        <f>ROUND(J11*1000/J22,3)</f>
        <v>118.423</v>
      </c>
      <c r="H33" s="42"/>
      <c r="I33" s="42"/>
      <c r="J33" s="34" t="s">
        <v>147</v>
      </c>
      <c r="M33" s="42" t="str">
        <f>IF(G33&lt;J32,"＜","＞")</f>
        <v>＜</v>
      </c>
      <c r="O33" s="34" t="s">
        <v>311</v>
      </c>
      <c r="P33" s="44"/>
      <c r="R33" s="48" t="s">
        <v>21</v>
      </c>
      <c r="V33" s="34" t="str">
        <f>IF(G33&lt;J32,"O.K","N.G")</f>
        <v>O.K</v>
      </c>
      <c r="AA33" s="55"/>
    </row>
    <row r="34" ht="24.75" customHeight="1"/>
    <row r="35" ht="24.75" customHeight="1"/>
    <row r="36" ht="24.75" customHeight="1"/>
    <row r="37" ht="24.75" customHeight="1"/>
    <row r="38" ht="24.75" customHeight="1"/>
  </sheetData>
  <mergeCells count="212">
    <mergeCell ref="AP22:AR22"/>
    <mergeCell ref="AS22:AU22"/>
    <mergeCell ref="AV22:AX22"/>
    <mergeCell ref="AA22:AC22"/>
    <mergeCell ref="AD22:AF22"/>
    <mergeCell ref="AG22:AI22"/>
    <mergeCell ref="AJ22:AL22"/>
    <mergeCell ref="BN22:BP22"/>
    <mergeCell ref="BK17:BM17"/>
    <mergeCell ref="BN17:BP17"/>
    <mergeCell ref="BE17:BG17"/>
    <mergeCell ref="BN21:BP21"/>
    <mergeCell ref="BN20:BP20"/>
    <mergeCell ref="BH20:BJ20"/>
    <mergeCell ref="BK20:BM20"/>
    <mergeCell ref="BE19:BG19"/>
    <mergeCell ref="BH19:BJ19"/>
    <mergeCell ref="BE22:BG22"/>
    <mergeCell ref="BH22:BJ22"/>
    <mergeCell ref="BK22:BM22"/>
    <mergeCell ref="BH17:BJ17"/>
    <mergeCell ref="BH21:BJ21"/>
    <mergeCell ref="BK21:BM21"/>
    <mergeCell ref="BE20:BG20"/>
    <mergeCell ref="BK19:BM19"/>
    <mergeCell ref="BH18:BJ18"/>
    <mergeCell ref="BK18:BM18"/>
    <mergeCell ref="AY22:BA22"/>
    <mergeCell ref="BB22:BD22"/>
    <mergeCell ref="AY17:BA17"/>
    <mergeCell ref="BB17:BD17"/>
    <mergeCell ref="BB18:BD18"/>
    <mergeCell ref="AY19:BA19"/>
    <mergeCell ref="BB19:BD19"/>
    <mergeCell ref="AJ17:AL17"/>
    <mergeCell ref="AP17:AR17"/>
    <mergeCell ref="AS17:AU17"/>
    <mergeCell ref="AV17:AX17"/>
    <mergeCell ref="AM17:AO17"/>
    <mergeCell ref="AA17:AC17"/>
    <mergeCell ref="AD17:AF17"/>
    <mergeCell ref="AG17:AI17"/>
    <mergeCell ref="BE21:BG21"/>
    <mergeCell ref="AA21:AC21"/>
    <mergeCell ref="AD21:AF21"/>
    <mergeCell ref="AG21:AI21"/>
    <mergeCell ref="AJ21:AL21"/>
    <mergeCell ref="AP21:AR21"/>
    <mergeCell ref="AS21:AU21"/>
    <mergeCell ref="AV21:AX21"/>
    <mergeCell ref="AY21:BA21"/>
    <mergeCell ref="BB21:BD21"/>
    <mergeCell ref="BB20:BD20"/>
    <mergeCell ref="AP20:AR20"/>
    <mergeCell ref="AS20:AU20"/>
    <mergeCell ref="AV20:AX20"/>
    <mergeCell ref="AY20:BA20"/>
    <mergeCell ref="AA20:AC20"/>
    <mergeCell ref="AD20:AF20"/>
    <mergeCell ref="AG20:AI20"/>
    <mergeCell ref="AJ20:AL20"/>
    <mergeCell ref="BN19:BP19"/>
    <mergeCell ref="BN18:BP18"/>
    <mergeCell ref="AA19:AC19"/>
    <mergeCell ref="AD19:AF19"/>
    <mergeCell ref="AG19:AI19"/>
    <mergeCell ref="AJ19:AL19"/>
    <mergeCell ref="AP19:AR19"/>
    <mergeCell ref="AS19:AU19"/>
    <mergeCell ref="AV19:AX19"/>
    <mergeCell ref="BE18:BG18"/>
    <mergeCell ref="AP18:AR18"/>
    <mergeCell ref="AS18:AU18"/>
    <mergeCell ref="AV18:AX18"/>
    <mergeCell ref="AY18:BA18"/>
    <mergeCell ref="AA18:AC18"/>
    <mergeCell ref="AD18:AF18"/>
    <mergeCell ref="AG18:AI18"/>
    <mergeCell ref="AJ18:AL18"/>
    <mergeCell ref="BE27:BG27"/>
    <mergeCell ref="BH27:BJ27"/>
    <mergeCell ref="BK27:BM27"/>
    <mergeCell ref="BN27:BP27"/>
    <mergeCell ref="BN26:BP26"/>
    <mergeCell ref="AA27:AC27"/>
    <mergeCell ref="AD27:AF27"/>
    <mergeCell ref="AG27:AI27"/>
    <mergeCell ref="AJ27:AL27"/>
    <mergeCell ref="AP27:AR27"/>
    <mergeCell ref="AS27:AU27"/>
    <mergeCell ref="AV27:AX27"/>
    <mergeCell ref="AY27:BA27"/>
    <mergeCell ref="BB27:BD27"/>
    <mergeCell ref="BB26:BD26"/>
    <mergeCell ref="BE26:BG26"/>
    <mergeCell ref="BH26:BJ26"/>
    <mergeCell ref="BK26:BM26"/>
    <mergeCell ref="AP26:AR26"/>
    <mergeCell ref="AS26:AU26"/>
    <mergeCell ref="AV26:AX26"/>
    <mergeCell ref="AY26:BA26"/>
    <mergeCell ref="AA26:AC26"/>
    <mergeCell ref="AD26:AF26"/>
    <mergeCell ref="AG26:AI26"/>
    <mergeCell ref="AJ26:AL26"/>
    <mergeCell ref="BE25:BG25"/>
    <mergeCell ref="BH25:BJ25"/>
    <mergeCell ref="BK25:BM25"/>
    <mergeCell ref="BN25:BP25"/>
    <mergeCell ref="BN24:BP24"/>
    <mergeCell ref="AA25:AC25"/>
    <mergeCell ref="AD25:AF25"/>
    <mergeCell ref="AG25:AI25"/>
    <mergeCell ref="AJ25:AL25"/>
    <mergeCell ref="AP25:AR25"/>
    <mergeCell ref="AS25:AU25"/>
    <mergeCell ref="AV25:AX25"/>
    <mergeCell ref="AY25:BA25"/>
    <mergeCell ref="BB25:BD25"/>
    <mergeCell ref="BB24:BD24"/>
    <mergeCell ref="BE24:BG24"/>
    <mergeCell ref="BH24:BJ24"/>
    <mergeCell ref="BK24:BM24"/>
    <mergeCell ref="AP24:AR24"/>
    <mergeCell ref="AS24:AU24"/>
    <mergeCell ref="AV24:AX24"/>
    <mergeCell ref="AY24:BA24"/>
    <mergeCell ref="AA24:AC24"/>
    <mergeCell ref="AD24:AF24"/>
    <mergeCell ref="AG24:AI24"/>
    <mergeCell ref="AJ24:AL24"/>
    <mergeCell ref="AA28:AK28"/>
    <mergeCell ref="AA29:AC29"/>
    <mergeCell ref="AD29:AF29"/>
    <mergeCell ref="AG29:AI29"/>
    <mergeCell ref="AJ29:AL29"/>
    <mergeCell ref="AP29:AR29"/>
    <mergeCell ref="AS29:AU29"/>
    <mergeCell ref="AV29:AX29"/>
    <mergeCell ref="AY29:BA29"/>
    <mergeCell ref="BB29:BD29"/>
    <mergeCell ref="BE29:BG29"/>
    <mergeCell ref="BH29:BJ29"/>
    <mergeCell ref="BK29:BM29"/>
    <mergeCell ref="BN29:BP29"/>
    <mergeCell ref="AA30:AC30"/>
    <mergeCell ref="AD30:AF30"/>
    <mergeCell ref="AG30:AI30"/>
    <mergeCell ref="AJ30:AL30"/>
    <mergeCell ref="AP30:AR30"/>
    <mergeCell ref="AS30:AU30"/>
    <mergeCell ref="AV30:AX30"/>
    <mergeCell ref="AY30:BA30"/>
    <mergeCell ref="BB30:BD30"/>
    <mergeCell ref="BE30:BG30"/>
    <mergeCell ref="BH30:BJ30"/>
    <mergeCell ref="BK30:BM30"/>
    <mergeCell ref="BN30:BP30"/>
    <mergeCell ref="AS31:AU31"/>
    <mergeCell ref="AV31:AX31"/>
    <mergeCell ref="AY31:BA31"/>
    <mergeCell ref="AA31:AC31"/>
    <mergeCell ref="AD31:AF31"/>
    <mergeCell ref="AG31:AI31"/>
    <mergeCell ref="AJ31:AL31"/>
    <mergeCell ref="BN32:BP32"/>
    <mergeCell ref="BN31:BP31"/>
    <mergeCell ref="AA32:AC32"/>
    <mergeCell ref="AD32:AF32"/>
    <mergeCell ref="AG32:AI32"/>
    <mergeCell ref="AJ32:AL32"/>
    <mergeCell ref="AP32:AR32"/>
    <mergeCell ref="AS32:AU32"/>
    <mergeCell ref="AV32:AX32"/>
    <mergeCell ref="AY32:BA32"/>
    <mergeCell ref="H10:K10"/>
    <mergeCell ref="BE32:BG32"/>
    <mergeCell ref="BH32:BJ32"/>
    <mergeCell ref="BK32:BM32"/>
    <mergeCell ref="BB32:BD32"/>
    <mergeCell ref="BB31:BD31"/>
    <mergeCell ref="BE31:BG31"/>
    <mergeCell ref="BH31:BJ31"/>
    <mergeCell ref="BK31:BM31"/>
    <mergeCell ref="AP31:AR31"/>
    <mergeCell ref="I17:J17"/>
    <mergeCell ref="D18:E18"/>
    <mergeCell ref="I12:J12"/>
    <mergeCell ref="I13:J13"/>
    <mergeCell ref="I14:J14"/>
    <mergeCell ref="K25:L26"/>
    <mergeCell ref="M25:M26"/>
    <mergeCell ref="L20:M20"/>
    <mergeCell ref="K27:L27"/>
    <mergeCell ref="AM29:AO29"/>
    <mergeCell ref="AM30:AO30"/>
    <mergeCell ref="AM31:AO31"/>
    <mergeCell ref="AM32:AO32"/>
    <mergeCell ref="AM24:AO24"/>
    <mergeCell ref="AM25:AO25"/>
    <mergeCell ref="AM26:AO26"/>
    <mergeCell ref="AM27:AO27"/>
    <mergeCell ref="J11:L11"/>
    <mergeCell ref="P11:Q11"/>
    <mergeCell ref="N11:O11"/>
    <mergeCell ref="AM22:AO22"/>
    <mergeCell ref="AM18:AO18"/>
    <mergeCell ref="AM19:AO19"/>
    <mergeCell ref="AM20:AO20"/>
    <mergeCell ref="AM21:AO21"/>
    <mergeCell ref="I15:J15"/>
    <mergeCell ref="I16:J16"/>
  </mergeCells>
  <printOptions/>
  <pageMargins left="0.75" right="0.75" top="1" bottom="1" header="0.5" footer="0.5"/>
  <pageSetup horizontalDpi="300" verticalDpi="300" orientation="portrait" paperSize="9" r:id="rId4"/>
  <headerFooter alignWithMargins="0">
    <oddHeader>&amp;R
</oddHeader>
  </headerFooter>
  <drawing r:id="rId3"/>
  <legacyDrawing r:id="rId2"/>
  <oleObjects>
    <oleObject progId="HunEquation" shapeId="253859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BP32"/>
  <sheetViews>
    <sheetView showGridLines="0" zoomScaleSheetLayoutView="100" workbookViewId="0" topLeftCell="A10">
      <selection activeCell="A10" sqref="A1:IV16384"/>
    </sheetView>
  </sheetViews>
  <sheetFormatPr defaultColWidth="8.88671875" defaultRowHeight="34.5" customHeight="1"/>
  <cols>
    <col min="1" max="26" width="2.88671875" style="34" customWidth="1"/>
    <col min="27" max="68" width="1.77734375" style="34" customWidth="1"/>
    <col min="69" max="16384" width="2.88671875" style="34" customWidth="1"/>
  </cols>
  <sheetData>
    <row r="1" spans="1:2" s="33" customFormat="1" ht="21.75" customHeight="1">
      <c r="A1" s="32"/>
      <c r="B1" s="137" t="s">
        <v>312</v>
      </c>
    </row>
    <row r="2" ht="21.75" customHeight="1"/>
    <row r="3" ht="21.75" customHeight="1"/>
    <row r="4" ht="21.75" customHeight="1"/>
    <row r="5" ht="21.75" customHeight="1"/>
    <row r="6" ht="21.75" customHeight="1"/>
    <row r="7" spans="1:32" ht="21.75" customHeight="1">
      <c r="A7" s="35"/>
      <c r="B7" s="36"/>
      <c r="C7" s="36"/>
      <c r="D7" s="36"/>
      <c r="E7" s="36"/>
      <c r="F7" s="36"/>
      <c r="G7" s="36"/>
      <c r="H7" s="36"/>
      <c r="I7" s="36"/>
      <c r="J7" s="36"/>
      <c r="K7" s="138"/>
      <c r="L7" s="138"/>
      <c r="M7" s="138"/>
      <c r="N7" s="138"/>
      <c r="O7" s="138"/>
      <c r="P7" s="36"/>
      <c r="Q7" s="36"/>
      <c r="R7" s="36"/>
      <c r="S7" s="36"/>
      <c r="T7" s="36"/>
      <c r="U7" s="36"/>
      <c r="V7" s="36"/>
      <c r="W7" s="36"/>
      <c r="X7" s="36"/>
      <c r="Y7" s="36"/>
      <c r="Z7" s="52"/>
      <c r="AA7" s="52"/>
      <c r="AB7" s="52"/>
      <c r="AC7" s="53"/>
      <c r="AD7" s="36"/>
      <c r="AE7" s="36"/>
      <c r="AF7" s="36"/>
    </row>
    <row r="8" spans="1:25" ht="21.75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7" ht="19.5" customHeight="1">
      <c r="A9" s="36"/>
      <c r="B9" s="36" t="s">
        <v>260</v>
      </c>
      <c r="C9" s="36"/>
      <c r="D9" s="36"/>
      <c r="E9" s="36"/>
      <c r="F9" s="36"/>
      <c r="G9" s="36" t="s">
        <v>7</v>
      </c>
      <c r="H9" s="106" t="s">
        <v>261</v>
      </c>
      <c r="I9" s="106"/>
      <c r="J9" s="106"/>
      <c r="K9" s="10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AA9" s="139"/>
    </row>
    <row r="10" spans="1:28" ht="19.5" customHeight="1">
      <c r="A10" s="36"/>
      <c r="B10" s="36" t="s">
        <v>262</v>
      </c>
      <c r="C10" s="36"/>
      <c r="D10" s="36"/>
      <c r="E10" s="36"/>
      <c r="F10" s="36"/>
      <c r="G10" s="36" t="s">
        <v>7</v>
      </c>
      <c r="H10" s="36" t="s">
        <v>0</v>
      </c>
      <c r="I10" s="36"/>
      <c r="J10" s="140">
        <v>3501.199</v>
      </c>
      <c r="K10" s="140"/>
      <c r="L10" s="140"/>
      <c r="M10" s="56" t="s">
        <v>263</v>
      </c>
      <c r="N10" s="77" t="s">
        <v>148</v>
      </c>
      <c r="O10" s="141"/>
      <c r="P10" s="142">
        <v>16</v>
      </c>
      <c r="Q10" s="142"/>
      <c r="R10" s="36" t="s">
        <v>6</v>
      </c>
      <c r="S10" s="36"/>
      <c r="T10" s="36"/>
      <c r="U10" s="36"/>
      <c r="V10" s="36"/>
      <c r="W10" s="36"/>
      <c r="X10" s="36"/>
      <c r="Z10" s="52"/>
      <c r="AA10" s="52"/>
      <c r="AB10" s="52"/>
    </row>
    <row r="11" spans="1:24" ht="19.5" customHeight="1">
      <c r="A11" s="36"/>
      <c r="B11" s="35" t="s">
        <v>264</v>
      </c>
      <c r="C11" s="36"/>
      <c r="D11" s="36"/>
      <c r="E11" s="36"/>
      <c r="F11" s="36"/>
      <c r="G11" s="36" t="s">
        <v>7</v>
      </c>
      <c r="H11" s="36" t="s">
        <v>12</v>
      </c>
      <c r="I11" s="143">
        <v>350</v>
      </c>
      <c r="J11" s="143"/>
      <c r="K11" s="36" t="s">
        <v>265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ht="19.5" customHeight="1">
      <c r="A12" s="36"/>
      <c r="B12" s="35" t="s">
        <v>266</v>
      </c>
      <c r="C12" s="36"/>
      <c r="D12" s="36"/>
      <c r="E12" s="36"/>
      <c r="F12" s="36"/>
      <c r="G12" s="36" t="s">
        <v>7</v>
      </c>
      <c r="H12" s="36" t="s">
        <v>16</v>
      </c>
      <c r="I12" s="143">
        <v>2840</v>
      </c>
      <c r="J12" s="143"/>
      <c r="K12" s="36" t="s">
        <v>265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X12" s="36"/>
    </row>
    <row r="13" spans="1:23" ht="19.5" customHeight="1">
      <c r="A13" s="36"/>
      <c r="B13" s="35" t="s">
        <v>267</v>
      </c>
      <c r="C13" s="36"/>
      <c r="D13" s="36"/>
      <c r="E13" s="36"/>
      <c r="F13" s="36"/>
      <c r="G13" s="36" t="s">
        <v>7</v>
      </c>
      <c r="H13" s="36" t="s">
        <v>1</v>
      </c>
      <c r="I13" s="143">
        <v>38</v>
      </c>
      <c r="J13" s="143"/>
      <c r="K13" s="36" t="s">
        <v>265</v>
      </c>
      <c r="L13" s="36" t="s">
        <v>268</v>
      </c>
      <c r="M13" s="36"/>
      <c r="N13" s="36"/>
      <c r="O13" s="36" t="s">
        <v>15</v>
      </c>
      <c r="P13" s="54">
        <v>13</v>
      </c>
      <c r="Q13" s="37"/>
      <c r="R13" s="36" t="s">
        <v>5</v>
      </c>
      <c r="S13" s="37">
        <f>ROUND(I11/P13,2)</f>
        <v>26.92</v>
      </c>
      <c r="T13" s="38"/>
      <c r="U13" s="36" t="s">
        <v>265</v>
      </c>
      <c r="V13" s="36"/>
      <c r="W13" s="34" t="str">
        <f>IF(I13&gt;=S13,"O.K","N.G")</f>
        <v>O.K</v>
      </c>
    </row>
    <row r="14" spans="1:65" ht="19.5" customHeight="1">
      <c r="A14" s="36"/>
      <c r="B14" s="35" t="s">
        <v>269</v>
      </c>
      <c r="C14" s="36"/>
      <c r="D14" s="36"/>
      <c r="E14" s="36"/>
      <c r="F14" s="36"/>
      <c r="G14" s="36" t="s">
        <v>7</v>
      </c>
      <c r="H14" s="36" t="s">
        <v>17</v>
      </c>
      <c r="I14" s="143">
        <v>0</v>
      </c>
      <c r="J14" s="143"/>
      <c r="K14" s="36" t="s">
        <v>265</v>
      </c>
      <c r="L14" s="36"/>
      <c r="M14" s="36"/>
      <c r="N14" s="36"/>
      <c r="O14" s="36"/>
      <c r="P14" s="36"/>
      <c r="Q14" s="36"/>
      <c r="R14" s="36"/>
      <c r="S14" s="3" t="s">
        <v>145</v>
      </c>
      <c r="T14" s="36"/>
      <c r="U14" s="36"/>
      <c r="V14" s="36"/>
      <c r="W14" s="36"/>
      <c r="X14" s="36"/>
      <c r="BE14" s="144"/>
      <c r="BF14" s="144"/>
      <c r="BG14" s="144"/>
      <c r="BH14" s="144"/>
      <c r="BI14" s="144"/>
      <c r="BJ14" s="144"/>
      <c r="BK14" s="144"/>
      <c r="BL14" s="144"/>
      <c r="BM14" s="144"/>
    </row>
    <row r="15" spans="1:65" ht="19.5" customHeight="1">
      <c r="A15" s="36"/>
      <c r="B15" s="36" t="s">
        <v>270</v>
      </c>
      <c r="C15" s="36"/>
      <c r="D15" s="36"/>
      <c r="E15" s="36"/>
      <c r="F15" s="36"/>
      <c r="G15" s="36" t="s">
        <v>7</v>
      </c>
      <c r="H15" s="36" t="s">
        <v>10</v>
      </c>
      <c r="I15" s="142">
        <v>1</v>
      </c>
      <c r="J15" s="142"/>
      <c r="K15" s="36" t="s">
        <v>18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AA15" s="50" t="s">
        <v>271</v>
      </c>
      <c r="AB15" s="50"/>
      <c r="AC15" s="50"/>
      <c r="AD15" s="50"/>
      <c r="AE15" s="50"/>
      <c r="AF15" s="50"/>
      <c r="AG15" s="50"/>
      <c r="AH15" s="50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45"/>
      <c r="BF15" s="145"/>
      <c r="BG15" s="145"/>
      <c r="BH15" s="145"/>
      <c r="BI15" s="145"/>
      <c r="BJ15" s="145"/>
      <c r="BK15" s="145"/>
      <c r="BL15" s="145"/>
      <c r="BM15" s="145"/>
    </row>
    <row r="16" spans="1:68" ht="19.5" customHeight="1">
      <c r="A16" s="36"/>
      <c r="B16" s="36" t="s">
        <v>272</v>
      </c>
      <c r="C16" s="36"/>
      <c r="D16" s="36"/>
      <c r="E16" s="36"/>
      <c r="F16" s="36"/>
      <c r="G16" s="36" t="s">
        <v>7</v>
      </c>
      <c r="H16" s="36" t="s">
        <v>2</v>
      </c>
      <c r="I16" s="143">
        <v>14</v>
      </c>
      <c r="J16" s="143"/>
      <c r="K16" s="36" t="s">
        <v>265</v>
      </c>
      <c r="L16" s="36"/>
      <c r="M16" s="36"/>
      <c r="N16" s="36"/>
      <c r="O16" s="36"/>
      <c r="P16" s="36"/>
      <c r="AA16" s="90">
        <f>AA28</f>
        <v>2</v>
      </c>
      <c r="AB16" s="91"/>
      <c r="AC16" s="78"/>
      <c r="AD16" s="86" t="s">
        <v>273</v>
      </c>
      <c r="AE16" s="87"/>
      <c r="AF16" s="88"/>
      <c r="AG16" s="86" t="s">
        <v>274</v>
      </c>
      <c r="AH16" s="87"/>
      <c r="AI16" s="88"/>
      <c r="AJ16" s="86" t="s">
        <v>275</v>
      </c>
      <c r="AK16" s="87"/>
      <c r="AL16" s="88"/>
      <c r="AM16" s="86" t="s">
        <v>276</v>
      </c>
      <c r="AN16" s="87"/>
      <c r="AO16" s="88"/>
      <c r="AP16" s="86" t="s">
        <v>23</v>
      </c>
      <c r="AQ16" s="87"/>
      <c r="AR16" s="88"/>
      <c r="AS16" s="146" t="s">
        <v>277</v>
      </c>
      <c r="AT16" s="147"/>
      <c r="AU16" s="148"/>
      <c r="AV16" s="86" t="s">
        <v>261</v>
      </c>
      <c r="AW16" s="87"/>
      <c r="AX16" s="88"/>
      <c r="AY16" s="86" t="s">
        <v>278</v>
      </c>
      <c r="AZ16" s="87"/>
      <c r="BA16" s="88"/>
      <c r="BB16" s="86" t="s">
        <v>279</v>
      </c>
      <c r="BC16" s="87"/>
      <c r="BD16" s="88"/>
      <c r="BE16" s="146" t="s">
        <v>280</v>
      </c>
      <c r="BF16" s="147"/>
      <c r="BG16" s="148"/>
      <c r="BH16" s="86" t="s">
        <v>281</v>
      </c>
      <c r="BI16" s="87"/>
      <c r="BJ16" s="88"/>
      <c r="BK16" s="86" t="s">
        <v>282</v>
      </c>
      <c r="BL16" s="87"/>
      <c r="BM16" s="88"/>
      <c r="BN16" s="146" t="s">
        <v>283</v>
      </c>
      <c r="BO16" s="147"/>
      <c r="BP16" s="148"/>
    </row>
    <row r="17" spans="3:68" ht="19.5" customHeight="1">
      <c r="C17" s="34" t="s">
        <v>17</v>
      </c>
      <c r="D17" s="85">
        <f>I14</f>
        <v>0</v>
      </c>
      <c r="E17" s="85"/>
      <c r="F17" s="36" t="s">
        <v>265</v>
      </c>
      <c r="H17" s="39" t="str">
        <f>IF(D17&lt;L17,"＜","＞")</f>
        <v>＜</v>
      </c>
      <c r="J17" s="34" t="s">
        <v>3</v>
      </c>
      <c r="L17" s="40">
        <f>24*I16</f>
        <v>336</v>
      </c>
      <c r="M17" s="40"/>
      <c r="N17" s="36" t="s">
        <v>284</v>
      </c>
      <c r="AA17" s="149">
        <f>HLOOKUP(H9,AD16:BP17,2,FALSE)</f>
        <v>7</v>
      </c>
      <c r="AB17" s="149"/>
      <c r="AC17" s="149"/>
      <c r="AD17" s="79">
        <v>1</v>
      </c>
      <c r="AE17" s="79"/>
      <c r="AF17" s="79"/>
      <c r="AG17" s="79">
        <v>2</v>
      </c>
      <c r="AH17" s="79"/>
      <c r="AI17" s="79"/>
      <c r="AJ17" s="79">
        <v>3</v>
      </c>
      <c r="AK17" s="79"/>
      <c r="AL17" s="79"/>
      <c r="AM17" s="79">
        <v>4</v>
      </c>
      <c r="AN17" s="79"/>
      <c r="AO17" s="79"/>
      <c r="AP17" s="79">
        <v>5</v>
      </c>
      <c r="AQ17" s="79"/>
      <c r="AR17" s="79"/>
      <c r="AS17" s="79">
        <v>6</v>
      </c>
      <c r="AT17" s="79"/>
      <c r="AU17" s="79"/>
      <c r="AV17" s="79">
        <v>7</v>
      </c>
      <c r="AW17" s="79"/>
      <c r="AX17" s="79"/>
      <c r="AY17" s="79">
        <v>8</v>
      </c>
      <c r="AZ17" s="79"/>
      <c r="BA17" s="79"/>
      <c r="BB17" s="79">
        <v>9</v>
      </c>
      <c r="BC17" s="79"/>
      <c r="BD17" s="79"/>
      <c r="BE17" s="79">
        <v>10</v>
      </c>
      <c r="BF17" s="79"/>
      <c r="BG17" s="79"/>
      <c r="BH17" s="79">
        <v>11</v>
      </c>
      <c r="BI17" s="79"/>
      <c r="BJ17" s="79"/>
      <c r="BK17" s="79">
        <v>12</v>
      </c>
      <c r="BL17" s="79"/>
      <c r="BM17" s="79"/>
      <c r="BN17" s="79">
        <v>13</v>
      </c>
      <c r="BO17" s="79"/>
      <c r="BP17" s="79"/>
    </row>
    <row r="18" spans="2:68" ht="19.5" customHeight="1">
      <c r="B18" s="34" t="s">
        <v>285</v>
      </c>
      <c r="F18" s="34" t="str">
        <f>IF(L17&gt;=D17,"Be = 2·12td + "&amp;I15-1&amp;"·d = ","Be = 2·12td + "&amp;I15-1&amp;"·24 td = ")</f>
        <v>Be = 2·12td + 0·d = </v>
      </c>
      <c r="M18" s="40">
        <f>IF(L17&gt;=D17,2*12*I16+(I15-1)*D17,2*12*I16+(I15-1)*24*I16)</f>
        <v>336</v>
      </c>
      <c r="N18" s="40"/>
      <c r="O18" s="36" t="s">
        <v>265</v>
      </c>
      <c r="AA18" s="150" t="s">
        <v>286</v>
      </c>
      <c r="AB18" s="151"/>
      <c r="AC18" s="152"/>
      <c r="AD18" s="78">
        <f>IF(AA16=2,18,19)</f>
        <v>18</v>
      </c>
      <c r="AE18" s="79"/>
      <c r="AF18" s="79"/>
      <c r="AG18" s="78">
        <f>AD18</f>
        <v>18</v>
      </c>
      <c r="AH18" s="79"/>
      <c r="AI18" s="79"/>
      <c r="AJ18" s="78">
        <f>AD18</f>
        <v>18</v>
      </c>
      <c r="AK18" s="79"/>
      <c r="AL18" s="79"/>
      <c r="AM18" s="78">
        <v>18</v>
      </c>
      <c r="AN18" s="79"/>
      <c r="AO18" s="79"/>
      <c r="AP18" s="90">
        <v>16</v>
      </c>
      <c r="AQ18" s="91"/>
      <c r="AR18" s="78"/>
      <c r="AS18" s="78">
        <f>AP18</f>
        <v>16</v>
      </c>
      <c r="AT18" s="79"/>
      <c r="AU18" s="79"/>
      <c r="AV18" s="78">
        <f>IF(AA16=2,15,IF(AA16=3,15,16))</f>
        <v>15</v>
      </c>
      <c r="AW18" s="79"/>
      <c r="AX18" s="79"/>
      <c r="AY18" s="78">
        <f>AV18</f>
        <v>15</v>
      </c>
      <c r="AZ18" s="79"/>
      <c r="BA18" s="79"/>
      <c r="BB18" s="78">
        <f>AV18</f>
        <v>15</v>
      </c>
      <c r="BC18" s="79"/>
      <c r="BD18" s="79"/>
      <c r="BE18" s="78">
        <v>15</v>
      </c>
      <c r="BF18" s="79"/>
      <c r="BG18" s="79"/>
      <c r="BH18" s="78">
        <f>IF(AA16=2,18,IF(AA16=3,17,17))</f>
        <v>18</v>
      </c>
      <c r="BI18" s="79"/>
      <c r="BJ18" s="79"/>
      <c r="BK18" s="78">
        <f>BH18</f>
        <v>18</v>
      </c>
      <c r="BL18" s="79"/>
      <c r="BM18" s="79"/>
      <c r="BN18" s="78">
        <v>18</v>
      </c>
      <c r="BO18" s="79"/>
      <c r="BP18" s="79"/>
    </row>
    <row r="19" spans="2:68" ht="19.5" customHeight="1">
      <c r="B19" s="34" t="s">
        <v>4</v>
      </c>
      <c r="F19" s="34" t="str">
        <f>"As = "&amp;I11&amp;" ×"&amp;I13&amp;" ×"&amp;I15*2&amp;" ="</f>
        <v>As = 350 ×38 ×2 =</v>
      </c>
      <c r="L19" s="84">
        <f>I11*I13*I15*2</f>
        <v>26600</v>
      </c>
      <c r="M19" s="84"/>
      <c r="N19" s="34" t="s">
        <v>287</v>
      </c>
      <c r="AA19" s="92" t="s">
        <v>288</v>
      </c>
      <c r="AB19" s="93"/>
      <c r="AC19" s="94"/>
      <c r="AD19" s="78">
        <f>IF(AA16=2,92,96)</f>
        <v>92</v>
      </c>
      <c r="AE19" s="79"/>
      <c r="AF19" s="79"/>
      <c r="AG19" s="79">
        <f>AD19</f>
        <v>92</v>
      </c>
      <c r="AH19" s="79"/>
      <c r="AI19" s="79"/>
      <c r="AJ19" s="79">
        <f>AD19</f>
        <v>92</v>
      </c>
      <c r="AK19" s="79"/>
      <c r="AL19" s="79"/>
      <c r="AM19" s="78">
        <v>92</v>
      </c>
      <c r="AN19" s="79"/>
      <c r="AO19" s="79"/>
      <c r="AP19" s="90">
        <f>IF(AA16=2,79,82)</f>
        <v>79</v>
      </c>
      <c r="AQ19" s="91"/>
      <c r="AR19" s="78"/>
      <c r="AS19" s="95">
        <v>79</v>
      </c>
      <c r="AT19" s="95"/>
      <c r="AU19" s="95"/>
      <c r="AV19" s="95">
        <f>IF(AA16=2,75,IF(AA16=3,77,78))</f>
        <v>75</v>
      </c>
      <c r="AW19" s="95"/>
      <c r="AX19" s="95"/>
      <c r="AY19" s="78">
        <f>AV19</f>
        <v>75</v>
      </c>
      <c r="AZ19" s="79"/>
      <c r="BA19" s="79"/>
      <c r="BB19" s="78">
        <f>AV19</f>
        <v>75</v>
      </c>
      <c r="BC19" s="79"/>
      <c r="BD19" s="79"/>
      <c r="BE19" s="78">
        <v>75</v>
      </c>
      <c r="BF19" s="79"/>
      <c r="BG19" s="79"/>
      <c r="BH19" s="79">
        <f>IF(AA16=2,67,69)</f>
        <v>67</v>
      </c>
      <c r="BI19" s="79"/>
      <c r="BJ19" s="79"/>
      <c r="BK19" s="79">
        <f>BH19</f>
        <v>67</v>
      </c>
      <c r="BL19" s="79"/>
      <c r="BM19" s="79"/>
      <c r="BN19" s="79">
        <v>67</v>
      </c>
      <c r="BO19" s="79"/>
      <c r="BP19" s="79"/>
    </row>
    <row r="20" spans="2:68" ht="19.5" customHeight="1">
      <c r="B20" s="34" t="s">
        <v>289</v>
      </c>
      <c r="F20" s="34" t="str">
        <f>"Ae = "&amp;M18&amp;" ×"&amp;I16&amp;" + "&amp;L19&amp;" ="</f>
        <v>Ae = 336 ×14 + 26600 =</v>
      </c>
      <c r="L20" s="41">
        <f>ROUND(M18*I16+L19,3)</f>
        <v>31304</v>
      </c>
      <c r="M20" s="42"/>
      <c r="N20" s="42"/>
      <c r="O20" s="34" t="s">
        <v>287</v>
      </c>
      <c r="Q20" s="39" t="str">
        <f>IF(L20&lt;U20,"＜","＞")</f>
        <v>＜</v>
      </c>
      <c r="S20" s="34" t="s">
        <v>19</v>
      </c>
      <c r="U20" s="41">
        <f>1.7*L19</f>
        <v>45220</v>
      </c>
      <c r="V20" s="41"/>
      <c r="W20" s="34" t="s">
        <v>287</v>
      </c>
      <c r="AA20" s="153" t="str">
        <f>IF(AA16=2,"40",IF(AA16=3,"40-70","75-100"))</f>
        <v>40</v>
      </c>
      <c r="AB20" s="154"/>
      <c r="AC20" s="155"/>
      <c r="AD20" s="96">
        <f>IF(AA16=2,0.82,0.68)</f>
        <v>0.82</v>
      </c>
      <c r="AE20" s="97"/>
      <c r="AF20" s="97"/>
      <c r="AG20" s="96">
        <f>AD20</f>
        <v>0.82</v>
      </c>
      <c r="AH20" s="97"/>
      <c r="AI20" s="97"/>
      <c r="AJ20" s="96">
        <f>AD20</f>
        <v>0.82</v>
      </c>
      <c r="AK20" s="97"/>
      <c r="AL20" s="97"/>
      <c r="AM20" s="78">
        <v>0.82</v>
      </c>
      <c r="AN20" s="79"/>
      <c r="AO20" s="79"/>
      <c r="AP20" s="98">
        <f>IF(AA16=2,1.2,1.1)</f>
        <v>1.2</v>
      </c>
      <c r="AQ20" s="99"/>
      <c r="AR20" s="96"/>
      <c r="AS20" s="96">
        <v>1.2</v>
      </c>
      <c r="AT20" s="97"/>
      <c r="AU20" s="97"/>
      <c r="AV20" s="96">
        <f>IF(AA16=2,1.5,IF(AA16=3,1.3,1.3))</f>
        <v>1.5</v>
      </c>
      <c r="AW20" s="97"/>
      <c r="AX20" s="97"/>
      <c r="AY20" s="96">
        <f>AV20</f>
        <v>1.5</v>
      </c>
      <c r="AZ20" s="97"/>
      <c r="BA20" s="97"/>
      <c r="BB20" s="96">
        <f>AV20</f>
        <v>1.5</v>
      </c>
      <c r="BC20" s="97"/>
      <c r="BD20" s="97"/>
      <c r="BE20" s="96">
        <v>1.5</v>
      </c>
      <c r="BF20" s="97"/>
      <c r="BG20" s="97"/>
      <c r="BH20" s="96">
        <f>IF(AA16=2,2.1,IF(AA16=3,2,1.9))</f>
        <v>2.1</v>
      </c>
      <c r="BI20" s="97"/>
      <c r="BJ20" s="97"/>
      <c r="BK20" s="96">
        <f>BH20</f>
        <v>2.1</v>
      </c>
      <c r="BL20" s="97"/>
      <c r="BM20" s="97"/>
      <c r="BN20" s="96">
        <v>2.1</v>
      </c>
      <c r="BO20" s="97"/>
      <c r="BP20" s="97"/>
    </row>
    <row r="21" spans="3:68" ht="19.5" customHeight="1">
      <c r="C21" s="34" t="s">
        <v>290</v>
      </c>
      <c r="J21" s="41">
        <f>MIN(L20,U20)</f>
        <v>31304</v>
      </c>
      <c r="K21" s="43"/>
      <c r="L21" s="34" t="s">
        <v>287</v>
      </c>
      <c r="O21" s="3" t="s">
        <v>145</v>
      </c>
      <c r="AA21" s="156"/>
      <c r="AB21" s="157"/>
      <c r="AC21" s="158"/>
      <c r="AD21" s="78">
        <f>IF(AA16=2,6700,7300)</f>
        <v>6700</v>
      </c>
      <c r="AE21" s="79"/>
      <c r="AF21" s="79"/>
      <c r="AG21" s="78">
        <f>AD21</f>
        <v>6700</v>
      </c>
      <c r="AH21" s="79"/>
      <c r="AI21" s="79"/>
      <c r="AJ21" s="78">
        <f>AD21</f>
        <v>6700</v>
      </c>
      <c r="AK21" s="79"/>
      <c r="AL21" s="79"/>
      <c r="AM21" s="78">
        <v>6700</v>
      </c>
      <c r="AN21" s="79"/>
      <c r="AO21" s="79"/>
      <c r="AP21" s="90">
        <f>IF(AA16=2,5000,5300)</f>
        <v>5000</v>
      </c>
      <c r="AQ21" s="91"/>
      <c r="AR21" s="78"/>
      <c r="AS21" s="78">
        <v>5000</v>
      </c>
      <c r="AT21" s="79"/>
      <c r="AU21" s="79"/>
      <c r="AV21" s="78">
        <f>IF(AA16=2,4400,IF(AA16=3,4700,4800))</f>
        <v>4400</v>
      </c>
      <c r="AW21" s="79"/>
      <c r="AX21" s="79"/>
      <c r="AY21" s="78">
        <f>AV21</f>
        <v>4400</v>
      </c>
      <c r="AZ21" s="79"/>
      <c r="BA21" s="79"/>
      <c r="BB21" s="78">
        <f>AV21</f>
        <v>4400</v>
      </c>
      <c r="BC21" s="79"/>
      <c r="BD21" s="79"/>
      <c r="BE21" s="78">
        <v>4400</v>
      </c>
      <c r="BF21" s="79"/>
      <c r="BG21" s="79"/>
      <c r="BH21" s="78">
        <f>IF(AA16=2,3500,IF(AA16=3,3600,3700))</f>
        <v>3500</v>
      </c>
      <c r="BI21" s="79"/>
      <c r="BJ21" s="79"/>
      <c r="BK21" s="78">
        <f>BH21</f>
        <v>3500</v>
      </c>
      <c r="BL21" s="79"/>
      <c r="BM21" s="79"/>
      <c r="BN21" s="78">
        <v>3500</v>
      </c>
      <c r="BO21" s="79"/>
      <c r="BP21" s="79"/>
    </row>
    <row r="22" spans="2:68" ht="19.5" customHeight="1">
      <c r="B22" s="34" t="s">
        <v>291</v>
      </c>
      <c r="AA22" s="50" t="s">
        <v>292</v>
      </c>
      <c r="AB22" s="50"/>
      <c r="AC22" s="50"/>
      <c r="AD22" s="50"/>
      <c r="AE22" s="50"/>
      <c r="AF22" s="50"/>
      <c r="AG22" s="50"/>
      <c r="AH22" s="50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</row>
    <row r="23" spans="3:68" ht="19.5" customHeight="1">
      <c r="C23" s="34" t="str">
        <f>"I = "&amp;M18&amp;" ×"&amp;I16&amp;"³/ 12  +  { "&amp;I13&amp;" ×"&amp;I11&amp;"³/ 12  +  "&amp;I13&amp;" ×"&amp;I11&amp;" ×"&amp;(I11+I16)/2&amp;"²} × "&amp;I15*2&amp;" ="</f>
        <v>I = 336 ×14³/ 12  +  { 38 ×350³/ 12  +  38 ×350 ×182²} × 2 =</v>
      </c>
      <c r="T23" s="42">
        <f>ROUND((M18*I16^3/12)+((I13*I11^3/12)+(I13*I11*((I11+I16)/2)^2))*I15*2,3)</f>
        <v>1152716898.667</v>
      </c>
      <c r="U23" s="42"/>
      <c r="V23" s="42"/>
      <c r="W23" s="34" t="s">
        <v>293</v>
      </c>
      <c r="AA23" s="90">
        <f>AA28</f>
        <v>2</v>
      </c>
      <c r="AB23" s="91"/>
      <c r="AC23" s="78"/>
      <c r="AD23" s="86" t="s">
        <v>273</v>
      </c>
      <c r="AE23" s="87"/>
      <c r="AF23" s="88"/>
      <c r="AG23" s="86" t="s">
        <v>274</v>
      </c>
      <c r="AH23" s="87"/>
      <c r="AI23" s="88"/>
      <c r="AJ23" s="86" t="s">
        <v>275</v>
      </c>
      <c r="AK23" s="87"/>
      <c r="AL23" s="88"/>
      <c r="AM23" s="86" t="s">
        <v>276</v>
      </c>
      <c r="AN23" s="87"/>
      <c r="AO23" s="88"/>
      <c r="AP23" s="86" t="s">
        <v>23</v>
      </c>
      <c r="AQ23" s="87"/>
      <c r="AR23" s="88"/>
      <c r="AS23" s="146" t="s">
        <v>277</v>
      </c>
      <c r="AT23" s="147"/>
      <c r="AU23" s="148"/>
      <c r="AV23" s="86" t="s">
        <v>261</v>
      </c>
      <c r="AW23" s="87"/>
      <c r="AX23" s="88"/>
      <c r="AY23" s="86" t="s">
        <v>278</v>
      </c>
      <c r="AZ23" s="87"/>
      <c r="BA23" s="88"/>
      <c r="BB23" s="86" t="s">
        <v>279</v>
      </c>
      <c r="BC23" s="87"/>
      <c r="BD23" s="88"/>
      <c r="BE23" s="146" t="s">
        <v>280</v>
      </c>
      <c r="BF23" s="147"/>
      <c r="BG23" s="148"/>
      <c r="BH23" s="86" t="s">
        <v>281</v>
      </c>
      <c r="BI23" s="87"/>
      <c r="BJ23" s="88"/>
      <c r="BK23" s="86" t="s">
        <v>282</v>
      </c>
      <c r="BL23" s="87"/>
      <c r="BM23" s="88"/>
      <c r="BN23" s="146" t="s">
        <v>283</v>
      </c>
      <c r="BO23" s="147"/>
      <c r="BP23" s="148"/>
    </row>
    <row r="24" spans="2:68" ht="19.5" customHeight="1">
      <c r="B24" s="48" t="s">
        <v>294</v>
      </c>
      <c r="K24" s="82">
        <f>ROUND(SQRT(T23/J21),3)</f>
        <v>191.894</v>
      </c>
      <c r="L24" s="82"/>
      <c r="M24" s="83" t="s">
        <v>22</v>
      </c>
      <c r="AA24" s="149">
        <f>HLOOKUP(H9,AD23:BP24,2,FALSE)</f>
        <v>7</v>
      </c>
      <c r="AB24" s="149"/>
      <c r="AC24" s="149"/>
      <c r="AD24" s="79">
        <v>1</v>
      </c>
      <c r="AE24" s="79"/>
      <c r="AF24" s="79"/>
      <c r="AG24" s="79">
        <v>2</v>
      </c>
      <c r="AH24" s="79"/>
      <c r="AI24" s="79"/>
      <c r="AJ24" s="79">
        <v>3</v>
      </c>
      <c r="AK24" s="79"/>
      <c r="AL24" s="79"/>
      <c r="AM24" s="79">
        <v>4</v>
      </c>
      <c r="AN24" s="79"/>
      <c r="AO24" s="79"/>
      <c r="AP24" s="79">
        <v>5</v>
      </c>
      <c r="AQ24" s="79"/>
      <c r="AR24" s="79"/>
      <c r="AS24" s="79">
        <v>6</v>
      </c>
      <c r="AT24" s="79"/>
      <c r="AU24" s="79"/>
      <c r="AV24" s="79">
        <v>7</v>
      </c>
      <c r="AW24" s="79"/>
      <c r="AX24" s="79"/>
      <c r="AY24" s="79">
        <v>8</v>
      </c>
      <c r="AZ24" s="79"/>
      <c r="BA24" s="79"/>
      <c r="BB24" s="79">
        <v>9</v>
      </c>
      <c r="BC24" s="79"/>
      <c r="BD24" s="79"/>
      <c r="BE24" s="79">
        <v>10</v>
      </c>
      <c r="BF24" s="79"/>
      <c r="BG24" s="79"/>
      <c r="BH24" s="79">
        <v>11</v>
      </c>
      <c r="BI24" s="79"/>
      <c r="BJ24" s="79"/>
      <c r="BK24" s="79">
        <v>12</v>
      </c>
      <c r="BL24" s="79"/>
      <c r="BM24" s="79"/>
      <c r="BN24" s="79">
        <v>13</v>
      </c>
      <c r="BO24" s="79"/>
      <c r="BP24" s="79"/>
    </row>
    <row r="25" spans="11:68" s="44" customFormat="1" ht="19.5" customHeight="1">
      <c r="K25" s="82"/>
      <c r="L25" s="82"/>
      <c r="M25" s="83"/>
      <c r="AA25" s="92" t="s">
        <v>288</v>
      </c>
      <c r="AB25" s="93"/>
      <c r="AC25" s="94"/>
      <c r="AD25" s="78">
        <f>IF(AA28=2,140,125)</f>
        <v>140</v>
      </c>
      <c r="AE25" s="79"/>
      <c r="AF25" s="79"/>
      <c r="AG25" s="79">
        <f>IF(AA28=2,140,125)</f>
        <v>140</v>
      </c>
      <c r="AH25" s="79"/>
      <c r="AI25" s="79"/>
      <c r="AJ25" s="79">
        <f>IF(AA28=2,140,125)</f>
        <v>140</v>
      </c>
      <c r="AK25" s="79"/>
      <c r="AL25" s="79"/>
      <c r="AM25" s="79">
        <f>IF(AA28=2,140,140)</f>
        <v>140</v>
      </c>
      <c r="AN25" s="79"/>
      <c r="AO25" s="79"/>
      <c r="AP25" s="95">
        <f>IF(AA28=2,185,175)</f>
        <v>185</v>
      </c>
      <c r="AQ25" s="95"/>
      <c r="AR25" s="95"/>
      <c r="AS25" s="95">
        <f>IF(AA28=2,185,185)</f>
        <v>185</v>
      </c>
      <c r="AT25" s="95"/>
      <c r="AU25" s="95"/>
      <c r="AV25" s="95">
        <f>IF(AA28=2,210,IF(AA28=3,195,190))</f>
        <v>210</v>
      </c>
      <c r="AW25" s="95"/>
      <c r="AX25" s="95"/>
      <c r="AY25" s="78">
        <f>IF(AA28=2,210,IF(AA28=3,195,190))</f>
        <v>210</v>
      </c>
      <c r="AZ25" s="79"/>
      <c r="BA25" s="79"/>
      <c r="BB25" s="78">
        <f>IF(AA28=2,210,IF(AA28=3,195,190))</f>
        <v>210</v>
      </c>
      <c r="BC25" s="79"/>
      <c r="BD25" s="79"/>
      <c r="BE25" s="78">
        <f>IF(AA28=2,255,255)</f>
        <v>255</v>
      </c>
      <c r="BF25" s="79"/>
      <c r="BG25" s="79"/>
      <c r="BH25" s="79">
        <f>IF(AA28=2,255,IF(AA28=3,245,240))</f>
        <v>255</v>
      </c>
      <c r="BI25" s="79"/>
      <c r="BJ25" s="79"/>
      <c r="BK25" s="79">
        <f>IF(AA28=2,255,IF(AA28=3,245,240))</f>
        <v>255</v>
      </c>
      <c r="BL25" s="79"/>
      <c r="BM25" s="79"/>
      <c r="BN25" s="79">
        <f>IF(AA28=2,255,255)</f>
        <v>255</v>
      </c>
      <c r="BO25" s="79"/>
      <c r="BP25" s="79"/>
    </row>
    <row r="26" spans="2:68" ht="19.5" customHeight="1">
      <c r="B26" s="34" t="s">
        <v>295</v>
      </c>
      <c r="G26" s="34" t="s">
        <v>20</v>
      </c>
      <c r="K26" s="85">
        <f>I12/2</f>
        <v>1420</v>
      </c>
      <c r="L26" s="85"/>
      <c r="M26" s="36" t="s">
        <v>265</v>
      </c>
      <c r="AA26" s="156" t="str">
        <f>IF(AA23=2,"40",IF(AA23=3,"40-70","75-100"))</f>
        <v>40</v>
      </c>
      <c r="AB26" s="157"/>
      <c r="AC26" s="158"/>
      <c r="AD26" s="80">
        <f>IF(AA28=2,12.8,13.6)</f>
        <v>12.8</v>
      </c>
      <c r="AE26" s="81"/>
      <c r="AF26" s="81"/>
      <c r="AG26" s="80">
        <f>IF(AA28=2,12.8,13.6)</f>
        <v>12.8</v>
      </c>
      <c r="AH26" s="81"/>
      <c r="AI26" s="81"/>
      <c r="AJ26" s="80">
        <f>IF(AA28=2,12.8,13.6)</f>
        <v>12.8</v>
      </c>
      <c r="AK26" s="81"/>
      <c r="AL26" s="81"/>
      <c r="AM26" s="80">
        <f>IF(AA28=2,12.8,12.8)</f>
        <v>12.8</v>
      </c>
      <c r="AN26" s="81"/>
      <c r="AO26" s="81"/>
      <c r="AP26" s="80">
        <f>IF(AA28=2,11.2,11.5)</f>
        <v>11.2</v>
      </c>
      <c r="AQ26" s="81"/>
      <c r="AR26" s="81"/>
      <c r="AS26" s="80">
        <f>IF(AA28=2,11.2,11.2)</f>
        <v>11.2</v>
      </c>
      <c r="AT26" s="81"/>
      <c r="AU26" s="81"/>
      <c r="AV26" s="80">
        <f>IF(AA28=2,10.5,IF(AA28=3,10.9,11))</f>
        <v>10.5</v>
      </c>
      <c r="AW26" s="81"/>
      <c r="AX26" s="81"/>
      <c r="AY26" s="80">
        <f>IF(AA28=2,10.5,IF(AA28=3,10.9,11))</f>
        <v>10.5</v>
      </c>
      <c r="AZ26" s="81"/>
      <c r="BA26" s="81"/>
      <c r="BB26" s="80">
        <f>IF(AA28=2,10.5,IF(AA28=3,10.9,11))</f>
        <v>10.5</v>
      </c>
      <c r="BC26" s="81"/>
      <c r="BD26" s="81"/>
      <c r="BE26" s="80">
        <f>IF(AA28=2,9.5,9.5)</f>
        <v>9.5</v>
      </c>
      <c r="BF26" s="81"/>
      <c r="BG26" s="81"/>
      <c r="BH26" s="80">
        <f>IF(AA28=2,9.5,IF(AA28=3,9.7,9.8))</f>
        <v>9.5</v>
      </c>
      <c r="BI26" s="81"/>
      <c r="BJ26" s="81"/>
      <c r="BK26" s="80">
        <f>IF(AA28=2,9.5,IF(AA28=3,9.7,9.8))</f>
        <v>9.5</v>
      </c>
      <c r="BL26" s="81"/>
      <c r="BM26" s="81"/>
      <c r="BN26" s="80">
        <f>IF(AA28=2,9.5,9.5)</f>
        <v>9.5</v>
      </c>
      <c r="BO26" s="81"/>
      <c r="BP26" s="81"/>
    </row>
    <row r="27" spans="2:68" ht="19.5" customHeight="1">
      <c r="B27" s="34" t="s">
        <v>296</v>
      </c>
      <c r="O27" s="3" t="s">
        <v>146</v>
      </c>
      <c r="AA27" s="89" t="s">
        <v>297</v>
      </c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</row>
    <row r="28" spans="2:68" ht="19.5" customHeight="1">
      <c r="B28" s="34" t="s">
        <v>298</v>
      </c>
      <c r="D28" s="45">
        <f>K26/K24</f>
        <v>7.39991870511845</v>
      </c>
      <c r="E28" s="45"/>
      <c r="G28" s="34" t="s">
        <v>299</v>
      </c>
      <c r="H28" s="34" t="s">
        <v>300</v>
      </c>
      <c r="J28" s="46">
        <f>IF(LOOKUP(AA17,AD17:BP17,AD18:BP18)&gt;=D28,HLOOKUP(H9,AD28:BP31,AA28,FALSE),IF(LOOKUP(AA17,AD17:BP17,AD19:BP19)&gt;=D28,HLOOKUP(H9,AD28:BP31,AA28,FALSE)-LOOKUP(AA17,AD17:BP17,AD20:BP20)*(D28-LOOKUP(AA17,AD17:BP17,AD18:BP18)),1200000/(LOOKUP(AA17,AD17:BP17,AD21:BP21)+D28^2)))</f>
        <v>210</v>
      </c>
      <c r="K28" s="42"/>
      <c r="L28" s="34" t="s">
        <v>147</v>
      </c>
      <c r="N28" s="34" t="s">
        <v>301</v>
      </c>
      <c r="AA28" s="90">
        <f>IF(I13&lt;=40,2,IF(I13&lt;=75,3,4))</f>
        <v>2</v>
      </c>
      <c r="AB28" s="91"/>
      <c r="AC28" s="78"/>
      <c r="AD28" s="86" t="s">
        <v>273</v>
      </c>
      <c r="AE28" s="87"/>
      <c r="AF28" s="88"/>
      <c r="AG28" s="86" t="s">
        <v>274</v>
      </c>
      <c r="AH28" s="87"/>
      <c r="AI28" s="88"/>
      <c r="AJ28" s="86" t="s">
        <v>275</v>
      </c>
      <c r="AK28" s="87"/>
      <c r="AL28" s="88"/>
      <c r="AM28" s="86" t="s">
        <v>276</v>
      </c>
      <c r="AN28" s="87"/>
      <c r="AO28" s="88"/>
      <c r="AP28" s="86" t="s">
        <v>23</v>
      </c>
      <c r="AQ28" s="87"/>
      <c r="AR28" s="88"/>
      <c r="AS28" s="146" t="s">
        <v>277</v>
      </c>
      <c r="AT28" s="147"/>
      <c r="AU28" s="148"/>
      <c r="AV28" s="86" t="s">
        <v>261</v>
      </c>
      <c r="AW28" s="87"/>
      <c r="AX28" s="88"/>
      <c r="AY28" s="86" t="s">
        <v>278</v>
      </c>
      <c r="AZ28" s="87"/>
      <c r="BA28" s="88"/>
      <c r="BB28" s="86" t="s">
        <v>279</v>
      </c>
      <c r="BC28" s="87"/>
      <c r="BD28" s="88"/>
      <c r="BE28" s="146" t="s">
        <v>280</v>
      </c>
      <c r="BF28" s="147"/>
      <c r="BG28" s="148"/>
      <c r="BH28" s="86" t="s">
        <v>281</v>
      </c>
      <c r="BI28" s="87"/>
      <c r="BJ28" s="88"/>
      <c r="BK28" s="86" t="s">
        <v>282</v>
      </c>
      <c r="BL28" s="87"/>
      <c r="BM28" s="88"/>
      <c r="BN28" s="146" t="s">
        <v>283</v>
      </c>
      <c r="BO28" s="147"/>
      <c r="BP28" s="148"/>
    </row>
    <row r="29" spans="2:68" ht="19.5" customHeight="1">
      <c r="B29" s="34" t="str">
        <f>IF((I11/I13)&gt;16,"강재두께 확인 요망",IF((I11/I13)&lt;=LOOKUP(AA24,AD24:BP24,AD26:BP26),"b ≤ "&amp;LOOKUP(AA24,AD24:BP24,AD26:BP26)&amp;"/ t ⇒","b/16 ≤ t &lt; b/"&amp;LOOKUP(AA24,AD24:BP24,AD26:BP26)&amp;"   ⇒"))</f>
        <v>b ≤ 10.5/ t ⇒</v>
      </c>
      <c r="E29" s="45"/>
      <c r="F29" s="45"/>
      <c r="H29" s="34" t="s">
        <v>302</v>
      </c>
      <c r="J29" s="46">
        <f>IF((I11/I13)&lt;=LOOKUP(AA24,AD24:BP24,AD26:BP26),ROUND(LOOKUP(AA24,AD24:BP24,AD25:BP25),1),ROUND(23000/(I11/I13)^2,1))</f>
        <v>210</v>
      </c>
      <c r="K29" s="42"/>
      <c r="L29" s="34" t="s">
        <v>147</v>
      </c>
      <c r="N29" s="34" t="s">
        <v>303</v>
      </c>
      <c r="AA29" s="79">
        <v>40</v>
      </c>
      <c r="AB29" s="79"/>
      <c r="AC29" s="79"/>
      <c r="AD29" s="90">
        <v>140</v>
      </c>
      <c r="AE29" s="91"/>
      <c r="AF29" s="78"/>
      <c r="AG29" s="90">
        <v>140</v>
      </c>
      <c r="AH29" s="91"/>
      <c r="AI29" s="78"/>
      <c r="AJ29" s="90">
        <v>140</v>
      </c>
      <c r="AK29" s="91"/>
      <c r="AL29" s="78"/>
      <c r="AM29" s="90">
        <v>140</v>
      </c>
      <c r="AN29" s="91"/>
      <c r="AO29" s="78"/>
      <c r="AP29" s="90">
        <v>185</v>
      </c>
      <c r="AQ29" s="91"/>
      <c r="AR29" s="78"/>
      <c r="AS29" s="90">
        <v>185</v>
      </c>
      <c r="AT29" s="91"/>
      <c r="AU29" s="78"/>
      <c r="AV29" s="90">
        <v>210</v>
      </c>
      <c r="AW29" s="91"/>
      <c r="AX29" s="78"/>
      <c r="AY29" s="90">
        <v>210</v>
      </c>
      <c r="AZ29" s="91"/>
      <c r="BA29" s="78"/>
      <c r="BB29" s="90">
        <v>210</v>
      </c>
      <c r="BC29" s="91"/>
      <c r="BD29" s="78"/>
      <c r="BE29" s="90">
        <v>210</v>
      </c>
      <c r="BF29" s="91"/>
      <c r="BG29" s="78"/>
      <c r="BH29" s="90">
        <v>255</v>
      </c>
      <c r="BI29" s="91"/>
      <c r="BJ29" s="78"/>
      <c r="BK29" s="90">
        <v>255</v>
      </c>
      <c r="BL29" s="91"/>
      <c r="BM29" s="78"/>
      <c r="BN29" s="90">
        <v>255</v>
      </c>
      <c r="BO29" s="91"/>
      <c r="BP29" s="78"/>
    </row>
    <row r="30" spans="3:68" ht="19.5" customHeight="1">
      <c r="C30" s="47"/>
      <c r="E30" s="45"/>
      <c r="F30" s="45"/>
      <c r="H30" s="34" t="s">
        <v>304</v>
      </c>
      <c r="J30" s="46">
        <f>HLOOKUP(H9,AD28:BP31,AA28,FALSE)</f>
        <v>210</v>
      </c>
      <c r="K30" s="42"/>
      <c r="L30" s="34" t="s">
        <v>147</v>
      </c>
      <c r="N30" s="34" t="s">
        <v>305</v>
      </c>
      <c r="AA30" s="159" t="s">
        <v>306</v>
      </c>
      <c r="AB30" s="159"/>
      <c r="AC30" s="159"/>
      <c r="AD30" s="90">
        <v>125</v>
      </c>
      <c r="AE30" s="91"/>
      <c r="AF30" s="78"/>
      <c r="AG30" s="90">
        <v>125</v>
      </c>
      <c r="AH30" s="91"/>
      <c r="AI30" s="78"/>
      <c r="AJ30" s="90">
        <v>125</v>
      </c>
      <c r="AK30" s="91"/>
      <c r="AL30" s="78"/>
      <c r="AM30" s="90">
        <v>140</v>
      </c>
      <c r="AN30" s="91"/>
      <c r="AO30" s="78"/>
      <c r="AP30" s="90">
        <v>175</v>
      </c>
      <c r="AQ30" s="91"/>
      <c r="AR30" s="78"/>
      <c r="AS30" s="90">
        <v>185</v>
      </c>
      <c r="AT30" s="91"/>
      <c r="AU30" s="78"/>
      <c r="AV30" s="90">
        <v>195</v>
      </c>
      <c r="AW30" s="91"/>
      <c r="AX30" s="78"/>
      <c r="AY30" s="90">
        <v>195</v>
      </c>
      <c r="AZ30" s="91"/>
      <c r="BA30" s="78"/>
      <c r="BB30" s="90">
        <v>195</v>
      </c>
      <c r="BC30" s="91"/>
      <c r="BD30" s="78"/>
      <c r="BE30" s="90">
        <v>210</v>
      </c>
      <c r="BF30" s="91"/>
      <c r="BG30" s="78"/>
      <c r="BH30" s="90">
        <v>245</v>
      </c>
      <c r="BI30" s="91"/>
      <c r="BJ30" s="78"/>
      <c r="BK30" s="90">
        <v>245</v>
      </c>
      <c r="BL30" s="91"/>
      <c r="BM30" s="78"/>
      <c r="BN30" s="90">
        <v>255</v>
      </c>
      <c r="BO30" s="91"/>
      <c r="BP30" s="78"/>
    </row>
    <row r="31" spans="2:68" ht="19.5" customHeight="1">
      <c r="B31" s="34" t="s">
        <v>307</v>
      </c>
      <c r="C31" s="47"/>
      <c r="E31" s="45"/>
      <c r="F31" s="45"/>
      <c r="J31" s="43">
        <f>J28*J29/J30</f>
        <v>210</v>
      </c>
      <c r="K31" s="42"/>
      <c r="L31" s="34" t="s">
        <v>147</v>
      </c>
      <c r="N31" s="34" t="s">
        <v>308</v>
      </c>
      <c r="AA31" s="159" t="s">
        <v>309</v>
      </c>
      <c r="AB31" s="159"/>
      <c r="AC31" s="159"/>
      <c r="AD31" s="90">
        <v>125</v>
      </c>
      <c r="AE31" s="91"/>
      <c r="AF31" s="78"/>
      <c r="AG31" s="90">
        <v>125</v>
      </c>
      <c r="AH31" s="91"/>
      <c r="AI31" s="78"/>
      <c r="AJ31" s="90">
        <v>125</v>
      </c>
      <c r="AK31" s="91"/>
      <c r="AL31" s="78"/>
      <c r="AM31" s="90">
        <v>140</v>
      </c>
      <c r="AN31" s="91"/>
      <c r="AO31" s="78"/>
      <c r="AP31" s="90">
        <v>175</v>
      </c>
      <c r="AQ31" s="91"/>
      <c r="AR31" s="78"/>
      <c r="AS31" s="90">
        <v>185</v>
      </c>
      <c r="AT31" s="91"/>
      <c r="AU31" s="78"/>
      <c r="AV31" s="90">
        <v>190</v>
      </c>
      <c r="AW31" s="91"/>
      <c r="AX31" s="78"/>
      <c r="AY31" s="90">
        <v>190</v>
      </c>
      <c r="AZ31" s="91"/>
      <c r="BA31" s="78"/>
      <c r="BB31" s="90">
        <v>190</v>
      </c>
      <c r="BC31" s="91"/>
      <c r="BD31" s="78"/>
      <c r="BE31" s="90">
        <v>210</v>
      </c>
      <c r="BF31" s="91"/>
      <c r="BG31" s="78"/>
      <c r="BH31" s="90">
        <v>240</v>
      </c>
      <c r="BI31" s="91"/>
      <c r="BJ31" s="78"/>
      <c r="BK31" s="90">
        <v>240</v>
      </c>
      <c r="BL31" s="91"/>
      <c r="BM31" s="78"/>
      <c r="BN31" s="90">
        <v>255</v>
      </c>
      <c r="BO31" s="91"/>
      <c r="BP31" s="78"/>
    </row>
    <row r="32" spans="2:27" ht="19.5" customHeight="1">
      <c r="B32" s="34" t="s">
        <v>310</v>
      </c>
      <c r="G32" s="42">
        <f>ROUND(J10*1000/J21,3)</f>
        <v>111.845</v>
      </c>
      <c r="H32" s="42"/>
      <c r="I32" s="42"/>
      <c r="J32" s="34" t="s">
        <v>147</v>
      </c>
      <c r="M32" s="42" t="str">
        <f>IF(G32&lt;J31,"＜","＞")</f>
        <v>＜</v>
      </c>
      <c r="O32" s="34" t="s">
        <v>311</v>
      </c>
      <c r="P32" s="44"/>
      <c r="R32" s="48" t="s">
        <v>21</v>
      </c>
      <c r="V32" s="34" t="str">
        <f>IF(G32&lt;J31,"O.K","N.G")</f>
        <v>O.K</v>
      </c>
      <c r="AA32" s="55"/>
    </row>
    <row r="33" ht="24.75" customHeight="1"/>
    <row r="34" ht="24.75" customHeight="1"/>
    <row r="35" ht="24.75" customHeight="1"/>
    <row r="36" ht="24.75" customHeight="1"/>
    <row r="37" ht="24.75" customHeight="1"/>
  </sheetData>
  <mergeCells count="212">
    <mergeCell ref="AP21:AR21"/>
    <mergeCell ref="AS21:AU21"/>
    <mergeCell ref="AV21:AX21"/>
    <mergeCell ref="AA21:AC21"/>
    <mergeCell ref="AD21:AF21"/>
    <mergeCell ref="AG21:AI21"/>
    <mergeCell ref="AJ21:AL21"/>
    <mergeCell ref="BN21:BP21"/>
    <mergeCell ref="BK16:BM16"/>
    <mergeCell ref="BN16:BP16"/>
    <mergeCell ref="BE16:BG16"/>
    <mergeCell ref="BN20:BP20"/>
    <mergeCell ref="BN19:BP19"/>
    <mergeCell ref="BH19:BJ19"/>
    <mergeCell ref="BK19:BM19"/>
    <mergeCell ref="BE18:BG18"/>
    <mergeCell ref="BH18:BJ18"/>
    <mergeCell ref="BE21:BG21"/>
    <mergeCell ref="BH21:BJ21"/>
    <mergeCell ref="BK21:BM21"/>
    <mergeCell ref="BH16:BJ16"/>
    <mergeCell ref="BH20:BJ20"/>
    <mergeCell ref="BK20:BM20"/>
    <mergeCell ref="BE19:BG19"/>
    <mergeCell ref="BK18:BM18"/>
    <mergeCell ref="BH17:BJ17"/>
    <mergeCell ref="BK17:BM17"/>
    <mergeCell ref="AY21:BA21"/>
    <mergeCell ref="BB21:BD21"/>
    <mergeCell ref="AY16:BA16"/>
    <mergeCell ref="BB16:BD16"/>
    <mergeCell ref="BB17:BD17"/>
    <mergeCell ref="AY18:BA18"/>
    <mergeCell ref="BB18:BD18"/>
    <mergeCell ref="AJ16:AL16"/>
    <mergeCell ref="AP16:AR16"/>
    <mergeCell ref="AS16:AU16"/>
    <mergeCell ref="AV16:AX16"/>
    <mergeCell ref="AM16:AO16"/>
    <mergeCell ref="AA16:AC16"/>
    <mergeCell ref="AD16:AF16"/>
    <mergeCell ref="AG16:AI16"/>
    <mergeCell ref="BE20:BG20"/>
    <mergeCell ref="AA20:AC20"/>
    <mergeCell ref="AD20:AF20"/>
    <mergeCell ref="AG20:AI20"/>
    <mergeCell ref="AJ20:AL20"/>
    <mergeCell ref="AP20:AR20"/>
    <mergeCell ref="AS20:AU20"/>
    <mergeCell ref="AV20:AX20"/>
    <mergeCell ref="AY20:BA20"/>
    <mergeCell ref="BB20:BD20"/>
    <mergeCell ref="BB19:BD19"/>
    <mergeCell ref="AP19:AR19"/>
    <mergeCell ref="AS19:AU19"/>
    <mergeCell ref="AV19:AX19"/>
    <mergeCell ref="AY19:BA19"/>
    <mergeCell ref="AA19:AC19"/>
    <mergeCell ref="AD19:AF19"/>
    <mergeCell ref="AG19:AI19"/>
    <mergeCell ref="AJ19:AL19"/>
    <mergeCell ref="BN18:BP18"/>
    <mergeCell ref="BN17:BP17"/>
    <mergeCell ref="AA18:AC18"/>
    <mergeCell ref="AD18:AF18"/>
    <mergeCell ref="AG18:AI18"/>
    <mergeCell ref="AJ18:AL18"/>
    <mergeCell ref="AP18:AR18"/>
    <mergeCell ref="AS18:AU18"/>
    <mergeCell ref="AV18:AX18"/>
    <mergeCell ref="BE17:BG17"/>
    <mergeCell ref="AP17:AR17"/>
    <mergeCell ref="AS17:AU17"/>
    <mergeCell ref="AV17:AX17"/>
    <mergeCell ref="AY17:BA17"/>
    <mergeCell ref="AA17:AC17"/>
    <mergeCell ref="AD17:AF17"/>
    <mergeCell ref="AG17:AI17"/>
    <mergeCell ref="AJ17:AL17"/>
    <mergeCell ref="BE26:BG26"/>
    <mergeCell ref="BH26:BJ26"/>
    <mergeCell ref="BK26:BM26"/>
    <mergeCell ref="BN26:BP26"/>
    <mergeCell ref="BN25:BP25"/>
    <mergeCell ref="AA26:AC26"/>
    <mergeCell ref="AD26:AF26"/>
    <mergeCell ref="AG26:AI26"/>
    <mergeCell ref="AJ26:AL26"/>
    <mergeCell ref="AP26:AR26"/>
    <mergeCell ref="AS26:AU26"/>
    <mergeCell ref="AV26:AX26"/>
    <mergeCell ref="AY26:BA26"/>
    <mergeCell ref="BB26:BD26"/>
    <mergeCell ref="BB25:BD25"/>
    <mergeCell ref="BE25:BG25"/>
    <mergeCell ref="BH25:BJ25"/>
    <mergeCell ref="BK25:BM25"/>
    <mergeCell ref="AP25:AR25"/>
    <mergeCell ref="AS25:AU25"/>
    <mergeCell ref="AV25:AX25"/>
    <mergeCell ref="AY25:BA25"/>
    <mergeCell ref="AA25:AC25"/>
    <mergeCell ref="AD25:AF25"/>
    <mergeCell ref="AG25:AI25"/>
    <mergeCell ref="AJ25:AL25"/>
    <mergeCell ref="BE24:BG24"/>
    <mergeCell ref="BH24:BJ24"/>
    <mergeCell ref="BK24:BM24"/>
    <mergeCell ref="BN24:BP24"/>
    <mergeCell ref="BN23:BP23"/>
    <mergeCell ref="AA24:AC24"/>
    <mergeCell ref="AD24:AF24"/>
    <mergeCell ref="AG24:AI24"/>
    <mergeCell ref="AJ24:AL24"/>
    <mergeCell ref="AP24:AR24"/>
    <mergeCell ref="AS24:AU24"/>
    <mergeCell ref="AV24:AX24"/>
    <mergeCell ref="AY24:BA24"/>
    <mergeCell ref="BB24:BD24"/>
    <mergeCell ref="BB23:BD23"/>
    <mergeCell ref="BE23:BG23"/>
    <mergeCell ref="BH23:BJ23"/>
    <mergeCell ref="BK23:BM23"/>
    <mergeCell ref="AP23:AR23"/>
    <mergeCell ref="AS23:AU23"/>
    <mergeCell ref="AV23:AX23"/>
    <mergeCell ref="AY23:BA23"/>
    <mergeCell ref="AA23:AC23"/>
    <mergeCell ref="AD23:AF23"/>
    <mergeCell ref="AG23:AI23"/>
    <mergeCell ref="AJ23:AL23"/>
    <mergeCell ref="AA27:AK27"/>
    <mergeCell ref="AA28:AC28"/>
    <mergeCell ref="AD28:AF28"/>
    <mergeCell ref="AG28:AI28"/>
    <mergeCell ref="AJ28:AL28"/>
    <mergeCell ref="AP28:AR28"/>
    <mergeCell ref="AS28:AU28"/>
    <mergeCell ref="AV28:AX28"/>
    <mergeCell ref="AY28:BA28"/>
    <mergeCell ref="BB28:BD28"/>
    <mergeCell ref="BE28:BG28"/>
    <mergeCell ref="BH28:BJ28"/>
    <mergeCell ref="BK28:BM28"/>
    <mergeCell ref="BN28:BP28"/>
    <mergeCell ref="AA29:AC29"/>
    <mergeCell ref="AD29:AF29"/>
    <mergeCell ref="AG29:AI29"/>
    <mergeCell ref="AJ29:AL29"/>
    <mergeCell ref="AP29:AR29"/>
    <mergeCell ref="AS29:AU29"/>
    <mergeCell ref="AV29:AX29"/>
    <mergeCell ref="AY29:BA29"/>
    <mergeCell ref="BB29:BD29"/>
    <mergeCell ref="BE29:BG29"/>
    <mergeCell ref="BH29:BJ29"/>
    <mergeCell ref="BK29:BM29"/>
    <mergeCell ref="BN29:BP29"/>
    <mergeCell ref="AS30:AU30"/>
    <mergeCell ref="AV30:AX30"/>
    <mergeCell ref="AY30:BA30"/>
    <mergeCell ref="AA30:AC30"/>
    <mergeCell ref="AD30:AF30"/>
    <mergeCell ref="AG30:AI30"/>
    <mergeCell ref="AJ30:AL30"/>
    <mergeCell ref="BN31:BP31"/>
    <mergeCell ref="BN30:BP30"/>
    <mergeCell ref="AA31:AC31"/>
    <mergeCell ref="AD31:AF31"/>
    <mergeCell ref="AG31:AI31"/>
    <mergeCell ref="AJ31:AL31"/>
    <mergeCell ref="AP31:AR31"/>
    <mergeCell ref="AS31:AU31"/>
    <mergeCell ref="AV31:AX31"/>
    <mergeCell ref="AY31:BA31"/>
    <mergeCell ref="H9:K9"/>
    <mergeCell ref="BE31:BG31"/>
    <mergeCell ref="BH31:BJ31"/>
    <mergeCell ref="BK31:BM31"/>
    <mergeCell ref="BB31:BD31"/>
    <mergeCell ref="BB30:BD30"/>
    <mergeCell ref="BE30:BG30"/>
    <mergeCell ref="BH30:BJ30"/>
    <mergeCell ref="BK30:BM30"/>
    <mergeCell ref="AP30:AR30"/>
    <mergeCell ref="I16:J16"/>
    <mergeCell ref="D17:E17"/>
    <mergeCell ref="I11:J11"/>
    <mergeCell ref="I12:J12"/>
    <mergeCell ref="I13:J13"/>
    <mergeCell ref="K24:L25"/>
    <mergeCell ref="M24:M25"/>
    <mergeCell ref="L19:M19"/>
    <mergeCell ref="K26:L26"/>
    <mergeCell ref="AM28:AO28"/>
    <mergeCell ref="AM29:AO29"/>
    <mergeCell ref="AM30:AO30"/>
    <mergeCell ref="AM31:AO31"/>
    <mergeCell ref="AM23:AO23"/>
    <mergeCell ref="AM24:AO24"/>
    <mergeCell ref="AM25:AO25"/>
    <mergeCell ref="AM26:AO26"/>
    <mergeCell ref="J10:L10"/>
    <mergeCell ref="P10:Q10"/>
    <mergeCell ref="N10:O10"/>
    <mergeCell ref="AM21:AO21"/>
    <mergeCell ref="AM17:AO17"/>
    <mergeCell ref="AM18:AO18"/>
    <mergeCell ref="AM19:AO19"/>
    <mergeCell ref="AM20:AO20"/>
    <mergeCell ref="I14:J14"/>
    <mergeCell ref="I15:J15"/>
  </mergeCells>
  <printOptions/>
  <pageMargins left="0.75" right="0.75" top="1" bottom="1" header="0.5" footer="0.5"/>
  <pageSetup horizontalDpi="300" verticalDpi="300" orientation="portrait" paperSize="9" r:id="rId4"/>
  <headerFooter alignWithMargins="0">
    <oddHeader>&amp;R
</oddHeader>
  </headerFooter>
  <drawing r:id="rId3"/>
  <legacyDrawing r:id="rId2"/>
  <oleObjects>
    <oleObject progId="HunEquation" shapeId="253861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P11"/>
  <sheetViews>
    <sheetView showGridLines="0" workbookViewId="0" topLeftCell="A1">
      <selection activeCell="BA13" sqref="BA13"/>
    </sheetView>
  </sheetViews>
  <sheetFormatPr defaultColWidth="8.88671875" defaultRowHeight="21" customHeight="1"/>
  <cols>
    <col min="1" max="16384" width="1.77734375" style="59" customWidth="1"/>
  </cols>
  <sheetData>
    <row r="1" ht="21" customHeight="1">
      <c r="A1" s="61" t="s">
        <v>214</v>
      </c>
    </row>
    <row r="2" spans="2:42" ht="21" customHeight="1">
      <c r="B2" s="100" t="s">
        <v>215</v>
      </c>
      <c r="C2" s="133"/>
      <c r="D2" s="133"/>
      <c r="E2" s="133"/>
      <c r="F2" s="133"/>
      <c r="G2" s="133"/>
      <c r="H2" s="133"/>
      <c r="I2" s="133"/>
      <c r="J2" s="101"/>
      <c r="K2" s="130" t="s">
        <v>165</v>
      </c>
      <c r="L2" s="160"/>
      <c r="M2" s="160"/>
      <c r="N2" s="161"/>
      <c r="O2" s="130" t="s">
        <v>216</v>
      </c>
      <c r="P2" s="160"/>
      <c r="Q2" s="160"/>
      <c r="R2" s="161"/>
      <c r="S2" s="130" t="s">
        <v>217</v>
      </c>
      <c r="T2" s="160"/>
      <c r="U2" s="160"/>
      <c r="V2" s="161"/>
      <c r="W2" s="130" t="s">
        <v>218</v>
      </c>
      <c r="X2" s="160"/>
      <c r="Y2" s="160"/>
      <c r="Z2" s="161"/>
      <c r="AA2" s="100" t="s">
        <v>162</v>
      </c>
      <c r="AB2" s="133"/>
      <c r="AC2" s="133"/>
      <c r="AD2" s="133"/>
      <c r="AE2" s="133"/>
      <c r="AF2" s="133"/>
      <c r="AG2" s="133"/>
      <c r="AH2" s="101"/>
      <c r="AI2" s="100" t="s">
        <v>219</v>
      </c>
      <c r="AJ2" s="133"/>
      <c r="AK2" s="133"/>
      <c r="AL2" s="133"/>
      <c r="AM2" s="133"/>
      <c r="AN2" s="133"/>
      <c r="AO2" s="133"/>
      <c r="AP2" s="101"/>
    </row>
    <row r="3" spans="2:42" ht="21" customHeight="1">
      <c r="B3" s="100" t="s">
        <v>220</v>
      </c>
      <c r="C3" s="133"/>
      <c r="D3" s="101"/>
      <c r="E3" s="100" t="s">
        <v>221</v>
      </c>
      <c r="F3" s="133"/>
      <c r="G3" s="101"/>
      <c r="H3" s="100" t="s">
        <v>222</v>
      </c>
      <c r="I3" s="133"/>
      <c r="J3" s="101"/>
      <c r="K3" s="134" t="s">
        <v>223</v>
      </c>
      <c r="L3" s="162"/>
      <c r="M3" s="162"/>
      <c r="N3" s="163"/>
      <c r="O3" s="134" t="s">
        <v>224</v>
      </c>
      <c r="P3" s="162"/>
      <c r="Q3" s="162"/>
      <c r="R3" s="163"/>
      <c r="S3" s="134" t="s">
        <v>225</v>
      </c>
      <c r="T3" s="162"/>
      <c r="U3" s="162"/>
      <c r="V3" s="163"/>
      <c r="W3" s="134" t="s">
        <v>226</v>
      </c>
      <c r="X3" s="162"/>
      <c r="Y3" s="162"/>
      <c r="Z3" s="163"/>
      <c r="AA3" s="100" t="s">
        <v>167</v>
      </c>
      <c r="AB3" s="133"/>
      <c r="AC3" s="101"/>
      <c r="AD3" s="100" t="s">
        <v>165</v>
      </c>
      <c r="AE3" s="133"/>
      <c r="AF3" s="101"/>
      <c r="AG3" s="100" t="s">
        <v>166</v>
      </c>
      <c r="AH3" s="101"/>
      <c r="AI3" s="100" t="s">
        <v>227</v>
      </c>
      <c r="AJ3" s="133"/>
      <c r="AK3" s="101"/>
      <c r="AL3" s="100" t="s">
        <v>228</v>
      </c>
      <c r="AM3" s="133"/>
      <c r="AN3" s="101"/>
      <c r="AO3" s="100" t="s">
        <v>166</v>
      </c>
      <c r="AP3" s="101"/>
    </row>
    <row r="4" spans="2:42" ht="21" customHeight="1">
      <c r="B4" s="130" t="s">
        <v>229</v>
      </c>
      <c r="C4" s="131"/>
      <c r="D4" s="132"/>
      <c r="E4" s="100" t="s">
        <v>230</v>
      </c>
      <c r="F4" s="133"/>
      <c r="G4" s="101"/>
      <c r="H4" s="102">
        <v>101</v>
      </c>
      <c r="I4" s="103"/>
      <c r="J4" s="104"/>
      <c r="K4" s="100" t="s">
        <v>213</v>
      </c>
      <c r="L4" s="133"/>
      <c r="M4" s="133"/>
      <c r="N4" s="101"/>
      <c r="O4" s="100">
        <v>1399.775</v>
      </c>
      <c r="P4" s="133"/>
      <c r="Q4" s="133"/>
      <c r="R4" s="101"/>
      <c r="S4" s="71">
        <v>250</v>
      </c>
      <c r="T4" s="72"/>
      <c r="U4" s="72"/>
      <c r="V4" s="73"/>
      <c r="W4" s="71">
        <v>172.04</v>
      </c>
      <c r="X4" s="72"/>
      <c r="Y4" s="72"/>
      <c r="Z4" s="73"/>
      <c r="AA4" s="71">
        <v>19.230769231</v>
      </c>
      <c r="AB4" s="72"/>
      <c r="AC4" s="73"/>
      <c r="AD4" s="71">
        <v>25</v>
      </c>
      <c r="AE4" s="72"/>
      <c r="AF4" s="73"/>
      <c r="AG4" s="100" t="str">
        <f aca="true" t="shared" si="0" ref="AG4:AG11">IF(AA4&lt;=AD4,"O.K","N.G")</f>
        <v>O.K</v>
      </c>
      <c r="AH4" s="101"/>
      <c r="AI4" s="71">
        <v>81.363345734</v>
      </c>
      <c r="AJ4" s="72"/>
      <c r="AK4" s="73"/>
      <c r="AL4" s="71">
        <v>210</v>
      </c>
      <c r="AM4" s="72"/>
      <c r="AN4" s="73"/>
      <c r="AO4" s="100" t="str">
        <f aca="true" t="shared" si="1" ref="AO4:AO11">IF(AI4&lt;=AL4,"O.K","N.G")</f>
        <v>O.K</v>
      </c>
      <c r="AP4" s="101"/>
    </row>
    <row r="5" spans="2:42" ht="21" customHeight="1">
      <c r="B5" s="134"/>
      <c r="C5" s="135"/>
      <c r="D5" s="136"/>
      <c r="E5" s="100" t="s">
        <v>231</v>
      </c>
      <c r="F5" s="133"/>
      <c r="G5" s="101"/>
      <c r="H5" s="102">
        <v>102</v>
      </c>
      <c r="I5" s="103"/>
      <c r="J5" s="104"/>
      <c r="K5" s="100" t="s">
        <v>213</v>
      </c>
      <c r="L5" s="133"/>
      <c r="M5" s="133"/>
      <c r="N5" s="101"/>
      <c r="O5" s="100">
        <v>2037.342</v>
      </c>
      <c r="P5" s="133"/>
      <c r="Q5" s="133"/>
      <c r="R5" s="101"/>
      <c r="S5" s="71">
        <v>250</v>
      </c>
      <c r="T5" s="72"/>
      <c r="U5" s="72"/>
      <c r="V5" s="73"/>
      <c r="W5" s="71">
        <v>172.04</v>
      </c>
      <c r="X5" s="72"/>
      <c r="Y5" s="72"/>
      <c r="Z5" s="73"/>
      <c r="AA5" s="71">
        <v>19.230769231</v>
      </c>
      <c r="AB5" s="72"/>
      <c r="AC5" s="73"/>
      <c r="AD5" s="71">
        <v>25</v>
      </c>
      <c r="AE5" s="72"/>
      <c r="AF5" s="73"/>
      <c r="AG5" s="100" t="str">
        <f t="shared" si="0"/>
        <v>O.K</v>
      </c>
      <c r="AH5" s="101"/>
      <c r="AI5" s="71">
        <v>118.422576145</v>
      </c>
      <c r="AJ5" s="72"/>
      <c r="AK5" s="73"/>
      <c r="AL5" s="71">
        <v>210</v>
      </c>
      <c r="AM5" s="72"/>
      <c r="AN5" s="73"/>
      <c r="AO5" s="100" t="str">
        <f t="shared" si="1"/>
        <v>O.K</v>
      </c>
      <c r="AP5" s="101"/>
    </row>
    <row r="6" spans="2:42" ht="21" customHeight="1">
      <c r="B6" s="130" t="s">
        <v>232</v>
      </c>
      <c r="C6" s="131"/>
      <c r="D6" s="132"/>
      <c r="E6" s="100" t="s">
        <v>230</v>
      </c>
      <c r="F6" s="133"/>
      <c r="G6" s="101"/>
      <c r="H6" s="102">
        <v>901</v>
      </c>
      <c r="I6" s="103"/>
      <c r="J6" s="104"/>
      <c r="K6" s="100" t="s">
        <v>213</v>
      </c>
      <c r="L6" s="133"/>
      <c r="M6" s="133"/>
      <c r="N6" s="101"/>
      <c r="O6" s="100">
        <v>3500.987</v>
      </c>
      <c r="P6" s="133"/>
      <c r="Q6" s="133"/>
      <c r="R6" s="101"/>
      <c r="S6" s="71">
        <v>350</v>
      </c>
      <c r="T6" s="72"/>
      <c r="U6" s="72"/>
      <c r="V6" s="73"/>
      <c r="W6" s="71">
        <v>313.04</v>
      </c>
      <c r="X6" s="72"/>
      <c r="Y6" s="72"/>
      <c r="Z6" s="73"/>
      <c r="AA6" s="71">
        <v>26.923076923</v>
      </c>
      <c r="AB6" s="72"/>
      <c r="AC6" s="73"/>
      <c r="AD6" s="71">
        <v>38</v>
      </c>
      <c r="AE6" s="72"/>
      <c r="AF6" s="73"/>
      <c r="AG6" s="100" t="str">
        <f t="shared" si="0"/>
        <v>O.K</v>
      </c>
      <c r="AH6" s="101"/>
      <c r="AI6" s="71">
        <v>111.83832737</v>
      </c>
      <c r="AJ6" s="72"/>
      <c r="AK6" s="73"/>
      <c r="AL6" s="71">
        <v>210</v>
      </c>
      <c r="AM6" s="72"/>
      <c r="AN6" s="73"/>
      <c r="AO6" s="100" t="str">
        <f t="shared" si="1"/>
        <v>O.K</v>
      </c>
      <c r="AP6" s="101"/>
    </row>
    <row r="7" spans="2:42" ht="21" customHeight="1">
      <c r="B7" s="134"/>
      <c r="C7" s="135"/>
      <c r="D7" s="136"/>
      <c r="E7" s="100" t="s">
        <v>231</v>
      </c>
      <c r="F7" s="133"/>
      <c r="G7" s="101"/>
      <c r="H7" s="102">
        <v>902</v>
      </c>
      <c r="I7" s="103"/>
      <c r="J7" s="104"/>
      <c r="K7" s="100" t="s">
        <v>213</v>
      </c>
      <c r="L7" s="133"/>
      <c r="M7" s="133"/>
      <c r="N7" s="101"/>
      <c r="O7" s="100">
        <v>3473.283</v>
      </c>
      <c r="P7" s="133"/>
      <c r="Q7" s="133"/>
      <c r="R7" s="101"/>
      <c r="S7" s="71">
        <v>350</v>
      </c>
      <c r="T7" s="72"/>
      <c r="U7" s="72"/>
      <c r="V7" s="73"/>
      <c r="W7" s="71">
        <v>313.04</v>
      </c>
      <c r="X7" s="72"/>
      <c r="Y7" s="72"/>
      <c r="Z7" s="73"/>
      <c r="AA7" s="71">
        <v>26.923076923</v>
      </c>
      <c r="AB7" s="72"/>
      <c r="AC7" s="73"/>
      <c r="AD7" s="71">
        <v>38</v>
      </c>
      <c r="AE7" s="72"/>
      <c r="AF7" s="73"/>
      <c r="AG7" s="100" t="str">
        <f t="shared" si="0"/>
        <v>O.K</v>
      </c>
      <c r="AH7" s="101"/>
      <c r="AI7" s="71">
        <v>110.953328648</v>
      </c>
      <c r="AJ7" s="72"/>
      <c r="AK7" s="73"/>
      <c r="AL7" s="71">
        <v>210</v>
      </c>
      <c r="AM7" s="72"/>
      <c r="AN7" s="73"/>
      <c r="AO7" s="100" t="str">
        <f t="shared" si="1"/>
        <v>O.K</v>
      </c>
      <c r="AP7" s="101"/>
    </row>
    <row r="8" spans="2:42" ht="21" customHeight="1">
      <c r="B8" s="130" t="s">
        <v>233</v>
      </c>
      <c r="C8" s="131"/>
      <c r="D8" s="132"/>
      <c r="E8" s="100" t="s">
        <v>230</v>
      </c>
      <c r="F8" s="133"/>
      <c r="G8" s="101"/>
      <c r="H8" s="102">
        <v>1701</v>
      </c>
      <c r="I8" s="103"/>
      <c r="J8" s="104"/>
      <c r="K8" s="100" t="s">
        <v>213</v>
      </c>
      <c r="L8" s="133"/>
      <c r="M8" s="133"/>
      <c r="N8" s="101"/>
      <c r="O8" s="100">
        <v>3501.199</v>
      </c>
      <c r="P8" s="133"/>
      <c r="Q8" s="133"/>
      <c r="R8" s="101"/>
      <c r="S8" s="71">
        <v>350</v>
      </c>
      <c r="T8" s="72"/>
      <c r="U8" s="72"/>
      <c r="V8" s="73"/>
      <c r="W8" s="71">
        <v>313.04</v>
      </c>
      <c r="X8" s="72"/>
      <c r="Y8" s="72"/>
      <c r="Z8" s="73"/>
      <c r="AA8" s="71">
        <v>26.923076923</v>
      </c>
      <c r="AB8" s="72"/>
      <c r="AC8" s="73"/>
      <c r="AD8" s="71">
        <v>38</v>
      </c>
      <c r="AE8" s="72"/>
      <c r="AF8" s="73"/>
      <c r="AG8" s="100" t="str">
        <f t="shared" si="0"/>
        <v>O.K</v>
      </c>
      <c r="AH8" s="101"/>
      <c r="AI8" s="71">
        <v>111.845099668</v>
      </c>
      <c r="AJ8" s="72"/>
      <c r="AK8" s="73"/>
      <c r="AL8" s="71">
        <v>210</v>
      </c>
      <c r="AM8" s="72"/>
      <c r="AN8" s="73"/>
      <c r="AO8" s="100" t="str">
        <f t="shared" si="1"/>
        <v>O.K</v>
      </c>
      <c r="AP8" s="101"/>
    </row>
    <row r="9" spans="2:42" ht="21" customHeight="1">
      <c r="B9" s="134"/>
      <c r="C9" s="135"/>
      <c r="D9" s="136"/>
      <c r="E9" s="100" t="s">
        <v>231</v>
      </c>
      <c r="F9" s="133"/>
      <c r="G9" s="101"/>
      <c r="H9" s="102">
        <v>1702</v>
      </c>
      <c r="I9" s="103"/>
      <c r="J9" s="104"/>
      <c r="K9" s="100" t="s">
        <v>213</v>
      </c>
      <c r="L9" s="133"/>
      <c r="M9" s="133"/>
      <c r="N9" s="101"/>
      <c r="O9" s="100">
        <v>3473.093</v>
      </c>
      <c r="P9" s="133"/>
      <c r="Q9" s="133"/>
      <c r="R9" s="101"/>
      <c r="S9" s="71">
        <v>350</v>
      </c>
      <c r="T9" s="72"/>
      <c r="U9" s="72"/>
      <c r="V9" s="73"/>
      <c r="W9" s="71">
        <v>313.04</v>
      </c>
      <c r="X9" s="72"/>
      <c r="Y9" s="72"/>
      <c r="Z9" s="73"/>
      <c r="AA9" s="71">
        <v>26.923076923</v>
      </c>
      <c r="AB9" s="72"/>
      <c r="AC9" s="73"/>
      <c r="AD9" s="71">
        <v>38</v>
      </c>
      <c r="AE9" s="72"/>
      <c r="AF9" s="73"/>
      <c r="AG9" s="100" t="str">
        <f t="shared" si="0"/>
        <v>O.K</v>
      </c>
      <c r="AH9" s="101"/>
      <c r="AI9" s="71">
        <v>110.947259136</v>
      </c>
      <c r="AJ9" s="72"/>
      <c r="AK9" s="73"/>
      <c r="AL9" s="71">
        <v>210</v>
      </c>
      <c r="AM9" s="72"/>
      <c r="AN9" s="73"/>
      <c r="AO9" s="100" t="str">
        <f t="shared" si="1"/>
        <v>O.K</v>
      </c>
      <c r="AP9" s="101"/>
    </row>
    <row r="10" spans="2:42" ht="21" customHeight="1">
      <c r="B10" s="130" t="s">
        <v>234</v>
      </c>
      <c r="C10" s="131"/>
      <c r="D10" s="132"/>
      <c r="E10" s="100" t="s">
        <v>230</v>
      </c>
      <c r="F10" s="133"/>
      <c r="G10" s="101"/>
      <c r="H10" s="102">
        <v>2501</v>
      </c>
      <c r="I10" s="103"/>
      <c r="J10" s="104"/>
      <c r="K10" s="100" t="s">
        <v>213</v>
      </c>
      <c r="L10" s="133"/>
      <c r="M10" s="133"/>
      <c r="N10" s="101"/>
      <c r="O10" s="100">
        <v>1399.846</v>
      </c>
      <c r="P10" s="133"/>
      <c r="Q10" s="133"/>
      <c r="R10" s="101"/>
      <c r="S10" s="71">
        <v>250</v>
      </c>
      <c r="T10" s="72"/>
      <c r="U10" s="72"/>
      <c r="V10" s="73"/>
      <c r="W10" s="71">
        <v>172.04</v>
      </c>
      <c r="X10" s="72"/>
      <c r="Y10" s="72"/>
      <c r="Z10" s="73"/>
      <c r="AA10" s="71">
        <v>19.230769231</v>
      </c>
      <c r="AB10" s="72"/>
      <c r="AC10" s="73"/>
      <c r="AD10" s="71">
        <v>25</v>
      </c>
      <c r="AE10" s="72"/>
      <c r="AF10" s="73"/>
      <c r="AG10" s="100" t="str">
        <f t="shared" si="0"/>
        <v>O.K</v>
      </c>
      <c r="AH10" s="101"/>
      <c r="AI10" s="71">
        <v>81.367472681</v>
      </c>
      <c r="AJ10" s="72"/>
      <c r="AK10" s="73"/>
      <c r="AL10" s="71">
        <v>210</v>
      </c>
      <c r="AM10" s="72"/>
      <c r="AN10" s="73"/>
      <c r="AO10" s="100" t="str">
        <f t="shared" si="1"/>
        <v>O.K</v>
      </c>
      <c r="AP10" s="101"/>
    </row>
    <row r="11" spans="2:42" ht="21" customHeight="1">
      <c r="B11" s="134"/>
      <c r="C11" s="135"/>
      <c r="D11" s="136"/>
      <c r="E11" s="100" t="s">
        <v>231</v>
      </c>
      <c r="F11" s="133"/>
      <c r="G11" s="101"/>
      <c r="H11" s="102">
        <v>2502</v>
      </c>
      <c r="I11" s="103"/>
      <c r="J11" s="104"/>
      <c r="K11" s="100" t="s">
        <v>213</v>
      </c>
      <c r="L11" s="133"/>
      <c r="M11" s="133"/>
      <c r="N11" s="101"/>
      <c r="O11" s="100">
        <v>1122.407</v>
      </c>
      <c r="P11" s="133"/>
      <c r="Q11" s="133"/>
      <c r="R11" s="101"/>
      <c r="S11" s="71">
        <v>250</v>
      </c>
      <c r="T11" s="72"/>
      <c r="U11" s="72"/>
      <c r="V11" s="73"/>
      <c r="W11" s="71">
        <v>172.04</v>
      </c>
      <c r="X11" s="72"/>
      <c r="Y11" s="72"/>
      <c r="Z11" s="73"/>
      <c r="AA11" s="71">
        <v>19.230769231</v>
      </c>
      <c r="AB11" s="72"/>
      <c r="AC11" s="73"/>
      <c r="AD11" s="71">
        <v>25</v>
      </c>
      <c r="AE11" s="72"/>
      <c r="AF11" s="73"/>
      <c r="AG11" s="100" t="str">
        <f t="shared" si="0"/>
        <v>O.K</v>
      </c>
      <c r="AH11" s="101"/>
      <c r="AI11" s="71">
        <v>65.241048593</v>
      </c>
      <c r="AJ11" s="72"/>
      <c r="AK11" s="73"/>
      <c r="AL11" s="71">
        <v>210</v>
      </c>
      <c r="AM11" s="72"/>
      <c r="AN11" s="73"/>
      <c r="AO11" s="100" t="str">
        <f t="shared" si="1"/>
        <v>O.K</v>
      </c>
      <c r="AP11" s="101"/>
    </row>
  </sheetData>
  <mergeCells count="120">
    <mergeCell ref="B2:J2"/>
    <mergeCell ref="K2:N2"/>
    <mergeCell ref="O2:R2"/>
    <mergeCell ref="S2:V2"/>
    <mergeCell ref="W2:Z2"/>
    <mergeCell ref="AA2:AH2"/>
    <mergeCell ref="AI2:AP2"/>
    <mergeCell ref="B3:D3"/>
    <mergeCell ref="E3:G3"/>
    <mergeCell ref="H3:J3"/>
    <mergeCell ref="K3:N3"/>
    <mergeCell ref="O3:R3"/>
    <mergeCell ref="S3:V3"/>
    <mergeCell ref="W3:Z3"/>
    <mergeCell ref="AA3:AC3"/>
    <mergeCell ref="AD3:AF3"/>
    <mergeCell ref="AG3:AH3"/>
    <mergeCell ref="AI3:AK3"/>
    <mergeCell ref="AL3:AN3"/>
    <mergeCell ref="AO3:AP3"/>
    <mergeCell ref="B4:D5"/>
    <mergeCell ref="E4:G4"/>
    <mergeCell ref="H4:J4"/>
    <mergeCell ref="K4:N4"/>
    <mergeCell ref="O4:R4"/>
    <mergeCell ref="S4:V4"/>
    <mergeCell ref="W4:Z4"/>
    <mergeCell ref="AA4:AC4"/>
    <mergeCell ref="AD4:AF4"/>
    <mergeCell ref="AG4:AH4"/>
    <mergeCell ref="AI4:AK4"/>
    <mergeCell ref="AL4:AN4"/>
    <mergeCell ref="AO4:AP4"/>
    <mergeCell ref="E5:G5"/>
    <mergeCell ref="H5:J5"/>
    <mergeCell ref="K5:N5"/>
    <mergeCell ref="O5:R5"/>
    <mergeCell ref="S5:V5"/>
    <mergeCell ref="W5:Z5"/>
    <mergeCell ref="AA5:AC5"/>
    <mergeCell ref="AD5:AF5"/>
    <mergeCell ref="AG5:AH5"/>
    <mergeCell ref="AI5:AK5"/>
    <mergeCell ref="AL5:AN5"/>
    <mergeCell ref="AO5:AP5"/>
    <mergeCell ref="B6:D7"/>
    <mergeCell ref="E6:G6"/>
    <mergeCell ref="H6:J6"/>
    <mergeCell ref="K6:N6"/>
    <mergeCell ref="O6:R6"/>
    <mergeCell ref="S6:V6"/>
    <mergeCell ref="W6:Z6"/>
    <mergeCell ref="AA6:AC6"/>
    <mergeCell ref="AD6:AF6"/>
    <mergeCell ref="AG6:AH6"/>
    <mergeCell ref="AI6:AK6"/>
    <mergeCell ref="AL6:AN6"/>
    <mergeCell ref="AO6:AP6"/>
    <mergeCell ref="E7:G7"/>
    <mergeCell ref="H7:J7"/>
    <mergeCell ref="K7:N7"/>
    <mergeCell ref="O7:R7"/>
    <mergeCell ref="S7:V7"/>
    <mergeCell ref="W7:Z7"/>
    <mergeCell ref="AA7:AC7"/>
    <mergeCell ref="AD7:AF7"/>
    <mergeCell ref="AG7:AH7"/>
    <mergeCell ref="AI7:AK7"/>
    <mergeCell ref="AL7:AN7"/>
    <mergeCell ref="AO7:AP7"/>
    <mergeCell ref="B8:D9"/>
    <mergeCell ref="E8:G8"/>
    <mergeCell ref="H8:J8"/>
    <mergeCell ref="K8:N8"/>
    <mergeCell ref="O8:R8"/>
    <mergeCell ref="S8:V8"/>
    <mergeCell ref="W8:Z8"/>
    <mergeCell ref="AA8:AC8"/>
    <mergeCell ref="AD8:AF8"/>
    <mergeCell ref="AG8:AH8"/>
    <mergeCell ref="AI8:AK8"/>
    <mergeCell ref="AL8:AN8"/>
    <mergeCell ref="AO8:AP8"/>
    <mergeCell ref="E9:G9"/>
    <mergeCell ref="H9:J9"/>
    <mergeCell ref="K9:N9"/>
    <mergeCell ref="O9:R9"/>
    <mergeCell ref="S9:V9"/>
    <mergeCell ref="W9:Z9"/>
    <mergeCell ref="AA9:AC9"/>
    <mergeCell ref="AD9:AF9"/>
    <mergeCell ref="AG9:AH9"/>
    <mergeCell ref="AI9:AK9"/>
    <mergeCell ref="AL9:AN9"/>
    <mergeCell ref="AO9:AP9"/>
    <mergeCell ref="B10:D11"/>
    <mergeCell ref="E10:G10"/>
    <mergeCell ref="H10:J10"/>
    <mergeCell ref="K10:N10"/>
    <mergeCell ref="O10:R10"/>
    <mergeCell ref="S10:V10"/>
    <mergeCell ref="W10:Z10"/>
    <mergeCell ref="AA10:AC10"/>
    <mergeCell ref="AD10:AF10"/>
    <mergeCell ref="AG10:AH10"/>
    <mergeCell ref="AI10:AK10"/>
    <mergeCell ref="AL10:AN10"/>
    <mergeCell ref="AO10:AP10"/>
    <mergeCell ref="E11:G11"/>
    <mergeCell ref="H11:J11"/>
    <mergeCell ref="K11:N11"/>
    <mergeCell ref="O11:R11"/>
    <mergeCell ref="S11:V11"/>
    <mergeCell ref="W11:Z11"/>
    <mergeCell ref="AA11:AC11"/>
    <mergeCell ref="AD11:AF11"/>
    <mergeCell ref="AG11:AH11"/>
    <mergeCell ref="AI11:AK11"/>
    <mergeCell ref="AL11:AN11"/>
    <mergeCell ref="AO11:AP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Ishikawa</cp:lastModifiedBy>
  <cp:lastPrinted>2006-02-13T02:08:31Z</cp:lastPrinted>
  <dcterms:created xsi:type="dcterms:W3CDTF">1999-12-07T07:51:51Z</dcterms:created>
  <dcterms:modified xsi:type="dcterms:W3CDTF">2009-07-14T02:15:41Z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144705869</vt:i4>
  </property>
  <property fmtid="{D5CDD505-2E9C-101B-9397-08002B2CF9AE}" pid="3" name="_EmailSubject">
    <vt:lpwstr>??sheet  NO.6....??????.</vt:lpwstr>
  </property>
  <property fmtid="{D5CDD505-2E9C-101B-9397-08002B2CF9AE}" pid="4" name="_AuthorEmail">
    <vt:lpwstr>hwang@basis.co.kr</vt:lpwstr>
  </property>
  <property fmtid="{D5CDD505-2E9C-101B-9397-08002B2CF9AE}" pid="5" name="_AuthorEmailDisplayName">
    <vt:lpwstr>???</vt:lpwstr>
  </property>
  <property fmtid="{D5CDD505-2E9C-101B-9397-08002B2CF9AE}" pid="6" name="_ReviewingToolsShownOnce">
    <vt:lpwstr/>
  </property>
</Properties>
</file>